
<file path=[Content_Types].xml><?xml version="1.0" encoding="utf-8"?>
<Types xmlns="http://schemas.openxmlformats.org/package/2006/content-types">
  <Default Extension="bin" ContentType="application/vnd.openxmlformats-officedocument.spreadsheetml.printerSettings"/>
  <Default Extension="png" ContentType="image/png"/>
  <Override PartName="/xl/activeX/activeX2.bin" ContentType="application/vnd.ms-office.activeX"/>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Override PartName="/xl/comments8.xml" ContentType="application/vnd.openxmlformats-officedocument.spreadsheetml.comments+xml"/>
  <Override PartName="/xl/comments9.xml" ContentType="application/vnd.openxmlformats-officedocument.spreadsheetml.comment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comments6.xml" ContentType="application/vnd.openxmlformats-officedocument.spreadsheetml.comments+xml"/>
  <Override PartName="/xl/comments7.xml" ContentType="application/vnd.openxmlformats-officedocument.spreadsheetml.comments+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drawings/drawing3.xml" ContentType="application/vnd.openxmlformats-officedocument.drawing+xml"/>
  <Override PartName="/xl/activeX/activeX2.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filterPrivacy="1" codeName="ThisWorkbook" defaultThemeVersion="124226"/>
  <bookViews>
    <workbookView xWindow="8190" yWindow="2325" windowWidth="4275" windowHeight="5985"/>
  </bookViews>
  <sheets>
    <sheet name="Introduction" sheetId="26" r:id="rId1"/>
    <sheet name="System Specifications" sheetId="16" r:id="rId2"/>
    <sheet name="PFC Inductor1" sheetId="17" r:id="rId3"/>
    <sheet name="FB Transformer" sheetId="18" r:id="rId4"/>
    <sheet name="QFB" sheetId="22" r:id="rId5"/>
    <sheet name="Startup Time1" sheetId="20" r:id="rId6"/>
    <sheet name="PSM" sheetId="19" r:id="rId7"/>
    <sheet name="X2 Discharge Time" sheetId="21" r:id="rId8"/>
    <sheet name="Over Power Protection" sheetId="5" r:id="rId9"/>
    <sheet name="QR FB Plots" sheetId="23" r:id="rId10"/>
  </sheets>
  <definedNames>
    <definedName name="Effmin">'System Specifications'!$B$13</definedName>
    <definedName name="flinemax">'System Specifications'!$B$7</definedName>
    <definedName name="flinemin">'System Specifications'!$B$6</definedName>
    <definedName name="PFCeff">'System Specifications'!$B$20</definedName>
    <definedName name="PFCfswmin">'System Specifications'!$B$19</definedName>
    <definedName name="PFCLpri">'PFC Inductor1'!$B$28</definedName>
    <definedName name="PFCVoHL">'System Specifications'!$B$16</definedName>
    <definedName name="PFCVoLL">'System Specifications'!$B$17</definedName>
    <definedName name="Pinmax">'System Specifications'!$B$18</definedName>
    <definedName name="Pomax">'System Specifications'!$B$12</definedName>
    <definedName name="QReff">'System Specifications'!$B$28</definedName>
    <definedName name="QRfswmin">'System Specifications'!$B$27</definedName>
    <definedName name="QRIo">'System Specifications'!$B$26</definedName>
    <definedName name="QRLNaux">'FB Transformer'!$B$38</definedName>
    <definedName name="QRLNp">'FB Transformer'!$B$33</definedName>
    <definedName name="QRLNs">'FB Transformer'!$B$35</definedName>
    <definedName name="QRLpri">'FB Transformer'!$B$28</definedName>
    <definedName name="QRRcs">'Over Power Protection'!$B$6</definedName>
    <definedName name="QRVinmax">'System Specifications'!$B$24</definedName>
    <definedName name="QRVinmin">'System Specifications'!$B$23</definedName>
    <definedName name="QRVo">'System Specifications'!$B$25</definedName>
    <definedName name="RQsense">'FB Transformer'!$B$22</definedName>
    <definedName name="Vacmax">'System Specifications'!$B$5</definedName>
    <definedName name="Vacmin">'System Specifications'!$B$4</definedName>
  </definedNames>
  <calcPr calcId="125725"/>
</workbook>
</file>

<file path=xl/calcChain.xml><?xml version="1.0" encoding="utf-8"?>
<calcChain xmlns="http://schemas.openxmlformats.org/spreadsheetml/2006/main">
  <c r="B6" i="5"/>
  <c r="B8" i="23" s="1"/>
  <c r="B4"/>
  <c r="B7"/>
  <c r="B6"/>
  <c r="B5"/>
  <c r="B11" i="5"/>
  <c r="B10"/>
  <c r="B9"/>
  <c r="B5"/>
  <c r="B58" i="17"/>
  <c r="B56"/>
  <c r="B17" i="16"/>
  <c r="B26"/>
  <c r="B25"/>
  <c r="B12"/>
  <c r="B9" i="23" l="1"/>
  <c r="B20" l="1"/>
  <c r="B14"/>
  <c r="B12"/>
  <c r="B10"/>
  <c r="B23" i="5"/>
  <c r="B24" s="1"/>
  <c r="B26"/>
  <c r="B28"/>
  <c r="B21"/>
  <c r="B22"/>
  <c r="B8"/>
  <c r="B19" l="1"/>
  <c r="B29"/>
  <c r="B14"/>
  <c r="B13"/>
  <c r="B16" l="1"/>
  <c r="B8" i="19"/>
  <c r="B8" i="22"/>
  <c r="B10" s="1"/>
  <c r="B11" s="1"/>
  <c r="B46" i="17"/>
  <c r="B43"/>
  <c r="B44" s="1"/>
  <c r="B12" i="19"/>
  <c r="B11"/>
  <c r="B37" i="17"/>
  <c r="B38" s="1"/>
  <c r="B39" s="1"/>
  <c r="B40" s="1"/>
  <c r="B28" i="16"/>
  <c r="B18"/>
  <c r="B17" i="18"/>
  <c r="B16" i="21"/>
  <c r="B10"/>
  <c r="B17" s="1"/>
  <c r="B19" s="1"/>
  <c r="B14" i="20"/>
  <c r="B11"/>
  <c r="B10"/>
  <c r="B11" i="18"/>
  <c r="B16"/>
  <c r="B10"/>
  <c r="B9"/>
  <c r="B15" i="17"/>
  <c r="B6"/>
  <c r="B5"/>
  <c r="B47" l="1"/>
  <c r="B18" i="18"/>
  <c r="B29" s="1"/>
  <c r="B13"/>
  <c r="B12"/>
  <c r="B16" i="17"/>
  <c r="B17" s="1"/>
  <c r="B7"/>
  <c r="B8" s="1"/>
  <c r="B11" s="1"/>
  <c r="B32" l="1"/>
  <c r="B21" i="18"/>
  <c r="B25" i="17"/>
  <c r="B20"/>
  <c r="B19"/>
  <c r="B19" i="18"/>
  <c r="B25" s="1"/>
  <c r="B32" l="1"/>
  <c r="B34" l="1"/>
  <c r="B37" s="1"/>
  <c r="B51" i="17" l="1"/>
  <c r="B12" i="5"/>
  <c r="B15" s="1"/>
  <c r="B10" i="17"/>
  <c r="B23" s="1"/>
</calcChain>
</file>

<file path=xl/comments1.xml><?xml version="1.0" encoding="utf-8"?>
<comments xmlns="http://schemas.openxmlformats.org/spreadsheetml/2006/main">
  <authors>
    <author>Author</author>
  </authors>
  <commentList>
    <comment ref="D9" authorId="0">
      <text>
        <r>
          <rPr>
            <b/>
            <sz val="8"/>
            <color indexed="81"/>
            <rFont val="Tahoma"/>
            <family val="2"/>
          </rPr>
          <t xml:space="preserve">Author:
</t>
        </r>
      </text>
    </comment>
  </commentList>
</comments>
</file>

<file path=xl/comments2.xml><?xml version="1.0" encoding="utf-8"?>
<comments xmlns="http://schemas.openxmlformats.org/spreadsheetml/2006/main">
  <authors>
    <author>Author</author>
  </authors>
  <commentList>
    <comment ref="B9" authorId="0">
      <text>
        <r>
          <rPr>
            <b/>
            <sz val="9"/>
            <color indexed="81"/>
            <rFont val="Tahoma"/>
            <family val="2"/>
          </rPr>
          <t>Author:</t>
        </r>
        <r>
          <rPr>
            <sz val="9"/>
            <color indexed="81"/>
            <rFont val="Tahoma"/>
            <family val="2"/>
          </rPr>
          <t xml:space="preserve">
Datasheet parameter.  Use minimum value, 12.5</t>
        </r>
        <r>
          <rPr>
            <sz val="9"/>
            <color indexed="81"/>
            <rFont val="Calibri"/>
            <family val="2"/>
          </rPr>
          <t>µ</t>
        </r>
        <r>
          <rPr>
            <sz val="9"/>
            <color indexed="81"/>
            <rFont val="Tahoma"/>
            <family val="2"/>
          </rPr>
          <t>s, for worst case</t>
        </r>
      </text>
    </comment>
    <comment ref="B10" authorId="0">
      <text>
        <r>
          <rPr>
            <b/>
            <sz val="9"/>
            <color indexed="81"/>
            <rFont val="Tahoma"/>
            <family val="2"/>
          </rPr>
          <t>Author:</t>
        </r>
        <r>
          <rPr>
            <sz val="9"/>
            <color indexed="81"/>
            <rFont val="Tahoma"/>
            <family val="2"/>
          </rPr>
          <t xml:space="preserve">
Maximum Inductance value due to Minimum PFC Switching Frequency at low line</t>
        </r>
      </text>
    </comment>
    <comment ref="B11" authorId="0">
      <text>
        <r>
          <rPr>
            <b/>
            <sz val="9"/>
            <color indexed="81"/>
            <rFont val="Tahoma"/>
            <family val="2"/>
          </rPr>
          <t>Author:</t>
        </r>
        <r>
          <rPr>
            <sz val="9"/>
            <color indexed="81"/>
            <rFont val="Tahoma"/>
            <family val="2"/>
          </rPr>
          <t xml:space="preserve">
Maximum Inductance value due to maximum PFC on time, ton1a, at low line</t>
        </r>
      </text>
    </comment>
    <comment ref="B14" authorId="0">
      <text>
        <r>
          <rPr>
            <b/>
            <sz val="9"/>
            <color indexed="81"/>
            <rFont val="Tahoma"/>
            <family val="2"/>
          </rPr>
          <t>Author:</t>
        </r>
        <r>
          <rPr>
            <sz val="9"/>
            <color indexed="81"/>
            <rFont val="Tahoma"/>
            <family val="2"/>
          </rPr>
          <t xml:space="preserve">
Datasheet Parameter</t>
        </r>
      </text>
    </comment>
    <comment ref="B18" authorId="0">
      <text>
        <r>
          <rPr>
            <b/>
            <sz val="9"/>
            <color indexed="81"/>
            <rFont val="Tahoma"/>
            <family val="2"/>
          </rPr>
          <t>Author:</t>
        </r>
        <r>
          <rPr>
            <sz val="9"/>
            <color indexed="81"/>
            <rFont val="Tahoma"/>
            <family val="2"/>
          </rPr>
          <t xml:space="preserve">
Datasheet parameter.  Use minimum value, 4.25µs, for worst case</t>
        </r>
      </text>
    </comment>
    <comment ref="B19" authorId="0">
      <text>
        <r>
          <rPr>
            <b/>
            <sz val="9"/>
            <color indexed="81"/>
            <rFont val="Tahoma"/>
            <family val="2"/>
          </rPr>
          <t>Author:</t>
        </r>
        <r>
          <rPr>
            <sz val="9"/>
            <color indexed="81"/>
            <rFont val="Tahoma"/>
            <family val="2"/>
          </rPr>
          <t xml:space="preserve">
Maximum Inductance value due to Minimum PFC Switching Frequency at high line</t>
        </r>
      </text>
    </comment>
    <comment ref="B20" authorId="0">
      <text>
        <r>
          <rPr>
            <b/>
            <sz val="9"/>
            <color indexed="81"/>
            <rFont val="Tahoma"/>
            <family val="2"/>
          </rPr>
          <t>Author:</t>
        </r>
        <r>
          <rPr>
            <sz val="9"/>
            <color indexed="81"/>
            <rFont val="Tahoma"/>
            <family val="2"/>
          </rPr>
          <t xml:space="preserve">
Maximum Inductance value due to maximum PFC on time, ton1b, at high line</t>
        </r>
      </text>
    </comment>
    <comment ref="B23" authorId="0">
      <text>
        <r>
          <rPr>
            <b/>
            <sz val="9"/>
            <color indexed="81"/>
            <rFont val="Tahoma"/>
            <family val="2"/>
          </rPr>
          <t>Author:</t>
        </r>
        <r>
          <rPr>
            <sz val="9"/>
            <color indexed="81"/>
            <rFont val="Tahoma"/>
            <family val="2"/>
          </rPr>
          <t xml:space="preserve">
This cell calculates a suggested typical inductor value based on maximum inductor value and manufacturing tolerance </t>
        </r>
      </text>
    </comment>
    <comment ref="B24" authorId="0">
      <text>
        <r>
          <rPr>
            <b/>
            <sz val="9"/>
            <color indexed="81"/>
            <rFont val="Tahoma"/>
            <family val="2"/>
          </rPr>
          <t>Author:</t>
        </r>
        <r>
          <rPr>
            <sz val="9"/>
            <color indexed="81"/>
            <rFont val="Tahoma"/>
            <family val="2"/>
          </rPr>
          <t xml:space="preserve">
Datasheet parameter.  PFC Current Sense threshold, VPILIM1.  Use minimum value for worst case</t>
        </r>
      </text>
    </comment>
    <comment ref="B25" authorId="0">
      <text>
        <r>
          <rPr>
            <b/>
            <sz val="9"/>
            <color indexed="81"/>
            <rFont val="Tahoma"/>
            <family val="2"/>
          </rPr>
          <t>Author:</t>
        </r>
        <r>
          <rPr>
            <sz val="9"/>
            <color indexed="81"/>
            <rFont val="Tahoma"/>
            <family val="2"/>
          </rPr>
          <t xml:space="preserve">
This cell calculates a suggested value for the PFC current sense resistors.  </t>
        </r>
      </text>
    </comment>
    <comment ref="B28" authorId="0">
      <text>
        <r>
          <rPr>
            <b/>
            <sz val="9"/>
            <color indexed="81"/>
            <rFont val="Tahoma"/>
            <family val="2"/>
          </rPr>
          <t>Author:</t>
        </r>
        <r>
          <rPr>
            <sz val="9"/>
            <color indexed="81"/>
            <rFont val="Tahoma"/>
            <family val="2"/>
          </rPr>
          <t xml:space="preserve">
User can input suggested inductor value or provide a different value</t>
        </r>
      </text>
    </comment>
    <comment ref="B29" authorId="0">
      <text>
        <r>
          <rPr>
            <b/>
            <sz val="9"/>
            <color indexed="81"/>
            <rFont val="Tahoma"/>
            <family val="2"/>
          </rPr>
          <t>Author:</t>
        </r>
        <r>
          <rPr>
            <sz val="9"/>
            <color indexed="81"/>
            <rFont val="Tahoma"/>
            <family val="2"/>
          </rPr>
          <t xml:space="preserve">
User inputs peak inductor current, can use calculated value from cell B8</t>
        </r>
      </text>
    </comment>
    <comment ref="B30" authorId="0">
      <text>
        <r>
          <rPr>
            <b/>
            <sz val="9"/>
            <color indexed="81"/>
            <rFont val="Tahoma"/>
            <family val="2"/>
          </rPr>
          <t>Author:</t>
        </r>
        <r>
          <rPr>
            <sz val="9"/>
            <color indexed="81"/>
            <rFont val="Tahoma"/>
            <family val="2"/>
          </rPr>
          <t xml:space="preserve">
User inputs effective cross-sectional area of core.  Default 90 sq. mm based on RM10 core</t>
        </r>
      </text>
    </comment>
    <comment ref="B31" authorId="0">
      <text>
        <r>
          <rPr>
            <b/>
            <sz val="9"/>
            <color indexed="81"/>
            <rFont val="Tahoma"/>
            <family val="2"/>
          </rPr>
          <t>Author:</t>
        </r>
        <r>
          <rPr>
            <sz val="9"/>
            <color indexed="81"/>
            <rFont val="Tahoma"/>
            <family val="2"/>
          </rPr>
          <t xml:space="preserve">
User input, inductor peak flux density.  Typical values 250 - 300mT.</t>
        </r>
      </text>
    </comment>
    <comment ref="B32" authorId="0">
      <text>
        <r>
          <rPr>
            <b/>
            <sz val="9"/>
            <color indexed="81"/>
            <rFont val="Tahoma"/>
            <family val="2"/>
          </rPr>
          <t>Author:</t>
        </r>
        <r>
          <rPr>
            <sz val="9"/>
            <color indexed="81"/>
            <rFont val="Tahoma"/>
            <family val="2"/>
          </rPr>
          <t xml:space="preserve">
Suggested minimun number of turns.  User should account for potential saturation  </t>
        </r>
      </text>
    </comment>
    <comment ref="B33" authorId="0">
      <text>
        <r>
          <rPr>
            <b/>
            <sz val="9"/>
            <color indexed="81"/>
            <rFont val="Tahoma"/>
            <family val="2"/>
          </rPr>
          <t>Author:</t>
        </r>
        <r>
          <rPr>
            <sz val="9"/>
            <color indexed="81"/>
            <rFont val="Tahoma"/>
            <family val="2"/>
          </rPr>
          <t xml:space="preserve">
User inputs number of primary turns</t>
        </r>
      </text>
    </comment>
    <comment ref="B39" authorId="0">
      <text>
        <r>
          <rPr>
            <b/>
            <sz val="9"/>
            <color indexed="81"/>
            <rFont val="Tahoma"/>
            <family val="2"/>
          </rPr>
          <t>Author:</t>
        </r>
        <r>
          <rPr>
            <sz val="9"/>
            <color indexed="81"/>
            <rFont val="Tahoma"/>
            <family val="2"/>
          </rPr>
          <t xml:space="preserve">
Suggested turn ratio from primary to aux winding</t>
        </r>
      </text>
    </comment>
    <comment ref="B40" authorId="0">
      <text>
        <r>
          <rPr>
            <b/>
            <sz val="9"/>
            <color indexed="81"/>
            <rFont val="Tahoma"/>
            <family val="2"/>
          </rPr>
          <t>Author:</t>
        </r>
        <r>
          <rPr>
            <sz val="9"/>
            <color indexed="81"/>
            <rFont val="Tahoma"/>
            <family val="2"/>
          </rPr>
          <t xml:space="preserve">
Suggested number of secondary turns.</t>
        </r>
      </text>
    </comment>
    <comment ref="B41" authorId="0">
      <text>
        <r>
          <rPr>
            <b/>
            <sz val="9"/>
            <color indexed="81"/>
            <rFont val="Tahoma"/>
            <family val="2"/>
          </rPr>
          <t>Author:</t>
        </r>
        <r>
          <rPr>
            <sz val="9"/>
            <color indexed="81"/>
            <rFont val="Tahoma"/>
            <family val="2"/>
          </rPr>
          <t xml:space="preserve">
User inputs number of auxiliary turns</t>
        </r>
      </text>
    </comment>
    <comment ref="B45" authorId="0">
      <text>
        <r>
          <rPr>
            <b/>
            <sz val="9"/>
            <color indexed="81"/>
            <rFont val="Tahoma"/>
            <family val="2"/>
          </rPr>
          <t>Author:</t>
        </r>
        <r>
          <rPr>
            <sz val="9"/>
            <color indexed="81"/>
            <rFont val="Tahoma"/>
            <family val="2"/>
          </rPr>
          <t xml:space="preserve">
User input.  Current into PCS/PZCD pin during inductor demagnetization.  Maximum value 5 mA</t>
        </r>
      </text>
    </comment>
    <comment ref="B46" authorId="0">
      <text>
        <r>
          <rPr>
            <b/>
            <sz val="9"/>
            <color indexed="81"/>
            <rFont val="Tahoma"/>
            <family val="2"/>
          </rPr>
          <t>Author:</t>
        </r>
        <r>
          <rPr>
            <sz val="9"/>
            <color indexed="81"/>
            <rFont val="Tahoma"/>
            <family val="2"/>
          </rPr>
          <t xml:space="preserve">
Calculated VPCS/ZCD based on internal clamping network.  Assumes Rpzcd = Rpcs</t>
        </r>
      </text>
    </comment>
    <comment ref="B47" authorId="0">
      <text>
        <r>
          <rPr>
            <b/>
            <sz val="9"/>
            <color indexed="81"/>
            <rFont val="Tahoma"/>
            <family val="2"/>
          </rPr>
          <t>Author:</t>
        </r>
        <r>
          <rPr>
            <sz val="9"/>
            <color indexed="81"/>
            <rFont val="Tahoma"/>
            <family val="2"/>
          </rPr>
          <t xml:space="preserve">
Suggested value of Rpzcd resistor.  Rpcs should be equal
</t>
        </r>
      </text>
    </comment>
    <comment ref="B50" authorId="0">
      <text>
        <r>
          <rPr>
            <b/>
            <sz val="9"/>
            <color indexed="81"/>
            <rFont val="Tahoma"/>
            <family val="2"/>
          </rPr>
          <t>Author:</t>
        </r>
        <r>
          <rPr>
            <sz val="9"/>
            <color indexed="81"/>
            <rFont val="Tahoma"/>
            <family val="2"/>
          </rPr>
          <t xml:space="preserve">
User input.  Suggested maximum value 20 Vpp</t>
        </r>
      </text>
    </comment>
    <comment ref="B54" authorId="0">
      <text>
        <r>
          <rPr>
            <b/>
            <sz val="9"/>
            <color indexed="81"/>
            <rFont val="Tahoma"/>
            <family val="2"/>
          </rPr>
          <t>Author:</t>
        </r>
        <r>
          <rPr>
            <sz val="9"/>
            <color indexed="81"/>
            <rFont val="Tahoma"/>
            <family val="2"/>
          </rPr>
          <t xml:space="preserve">
Datasheet parameter</t>
        </r>
      </text>
    </comment>
    <comment ref="B55" authorId="0">
      <text>
        <r>
          <rPr>
            <b/>
            <sz val="9"/>
            <color indexed="81"/>
            <rFont val="Tahoma"/>
            <family val="2"/>
          </rPr>
          <t>Author:</t>
        </r>
        <r>
          <rPr>
            <sz val="9"/>
            <color indexed="81"/>
            <rFont val="Tahoma"/>
            <family val="2"/>
          </rPr>
          <t xml:space="preserve">
User inputs maximum current through PFC resistor divider.  Maximum value 500 </t>
        </r>
        <r>
          <rPr>
            <sz val="9"/>
            <color indexed="81"/>
            <rFont val="Calibri"/>
            <family val="2"/>
          </rPr>
          <t>µ</t>
        </r>
        <r>
          <rPr>
            <sz val="9"/>
            <color indexed="81"/>
            <rFont val="Tahoma"/>
            <family val="2"/>
          </rPr>
          <t>A</t>
        </r>
      </text>
    </comment>
    <comment ref="B57" authorId="0">
      <text>
        <r>
          <rPr>
            <b/>
            <sz val="9"/>
            <color indexed="81"/>
            <rFont val="Tahoma"/>
            <family val="2"/>
          </rPr>
          <t>Author:</t>
        </r>
        <r>
          <rPr>
            <sz val="9"/>
            <color indexed="81"/>
            <rFont val="Tahoma"/>
            <family val="2"/>
          </rPr>
          <t xml:space="preserve">
User inputs resistor value</t>
        </r>
      </text>
    </comment>
  </commentList>
</comments>
</file>

<file path=xl/comments3.xml><?xml version="1.0" encoding="utf-8"?>
<comments xmlns="http://schemas.openxmlformats.org/spreadsheetml/2006/main">
  <authors>
    <author>Author</author>
  </authors>
  <commentList>
    <comment ref="B5" authorId="0">
      <text>
        <r>
          <rPr>
            <b/>
            <sz val="9"/>
            <color indexed="81"/>
            <rFont val="Tahoma"/>
            <family val="2"/>
          </rPr>
          <t>Author:</t>
        </r>
        <r>
          <rPr>
            <sz val="9"/>
            <color indexed="81"/>
            <rFont val="Tahoma"/>
            <family val="2"/>
          </rPr>
          <t xml:space="preserve">
User inputs breakdown voltage of primary side QR MOSFET.</t>
        </r>
      </text>
    </comment>
    <comment ref="B6" authorId="0">
      <text>
        <r>
          <rPr>
            <b/>
            <sz val="9"/>
            <color indexed="81"/>
            <rFont val="Tahoma"/>
            <family val="2"/>
          </rPr>
          <t>Author:</t>
        </r>
        <r>
          <rPr>
            <sz val="9"/>
            <color indexed="81"/>
            <rFont val="Tahoma"/>
            <family val="2"/>
          </rPr>
          <t xml:space="preserve">
User inputs breakdown derating criteria of primary side QR MOSFET. Typical values .75 - .9</t>
        </r>
      </text>
    </comment>
    <comment ref="B7" authorId="0">
      <text>
        <r>
          <rPr>
            <b/>
            <sz val="9"/>
            <color indexed="81"/>
            <rFont val="Tahoma"/>
            <family val="2"/>
          </rPr>
          <t>Author:</t>
        </r>
        <r>
          <rPr>
            <sz val="9"/>
            <color indexed="81"/>
            <rFont val="Tahoma"/>
            <family val="2"/>
          </rPr>
          <t xml:space="preserve">
User inputs breakdown voltage of secondary side device.</t>
        </r>
      </text>
    </comment>
    <comment ref="B8" authorId="0">
      <text>
        <r>
          <rPr>
            <b/>
            <sz val="9"/>
            <color indexed="81"/>
            <rFont val="Tahoma"/>
            <family val="2"/>
          </rPr>
          <t>Author:</t>
        </r>
        <r>
          <rPr>
            <sz val="9"/>
            <color indexed="81"/>
            <rFont val="Tahoma"/>
            <family val="2"/>
          </rPr>
          <t xml:space="preserve">
User inputs breakdown derating criteria of secondary side device. Typical values .75 - .9</t>
        </r>
      </text>
    </comment>
    <comment ref="B12" authorId="0">
      <text>
        <r>
          <rPr>
            <b/>
            <sz val="9"/>
            <color indexed="81"/>
            <rFont val="Tahoma"/>
            <family val="2"/>
          </rPr>
          <t>Author:</t>
        </r>
        <r>
          <rPr>
            <sz val="9"/>
            <color indexed="81"/>
            <rFont val="Tahoma"/>
            <family val="2"/>
          </rPr>
          <t xml:space="preserve">
Suggested maximum turns ratio based on MOSFET derating</t>
        </r>
      </text>
    </comment>
    <comment ref="B13" authorId="0">
      <text>
        <r>
          <rPr>
            <b/>
            <sz val="9"/>
            <color indexed="81"/>
            <rFont val="Tahoma"/>
            <family val="2"/>
          </rPr>
          <t>Author:</t>
        </r>
        <r>
          <rPr>
            <sz val="9"/>
            <color indexed="81"/>
            <rFont val="Tahoma"/>
            <family val="2"/>
          </rPr>
          <t xml:space="preserve">
Suggested minimum turns ratio based on MOSFET derating</t>
        </r>
      </text>
    </comment>
    <comment ref="B14" authorId="0">
      <text>
        <r>
          <rPr>
            <b/>
            <sz val="9"/>
            <color indexed="81"/>
            <rFont val="Tahoma"/>
            <family val="2"/>
          </rPr>
          <t>Author:</t>
        </r>
        <r>
          <rPr>
            <sz val="9"/>
            <color indexed="81"/>
            <rFont val="Tahoma"/>
            <family val="2"/>
          </rPr>
          <t xml:space="preserve">
User inputs selected turns ratio</t>
        </r>
      </text>
    </comment>
    <comment ref="B20" authorId="0">
      <text>
        <r>
          <rPr>
            <b/>
            <sz val="9"/>
            <color indexed="81"/>
            <rFont val="Tahoma"/>
            <family val="2"/>
          </rPr>
          <t>Author:</t>
        </r>
        <r>
          <rPr>
            <sz val="9"/>
            <color indexed="81"/>
            <rFont val="Tahoma"/>
            <family val="2"/>
          </rPr>
          <t xml:space="preserve">
Datasheet parameter, use minimum value for worst case</t>
        </r>
      </text>
    </comment>
    <comment ref="B21" authorId="0">
      <text>
        <r>
          <rPr>
            <b/>
            <sz val="9"/>
            <color indexed="81"/>
            <rFont val="Tahoma"/>
            <family val="2"/>
          </rPr>
          <t>Author:</t>
        </r>
        <r>
          <rPr>
            <sz val="9"/>
            <color indexed="81"/>
            <rFont val="Tahoma"/>
            <family val="2"/>
          </rPr>
          <t xml:space="preserve">
Suggested maximum value of current sense resistors</t>
        </r>
      </text>
    </comment>
    <comment ref="B22" authorId="0">
      <text>
        <r>
          <rPr>
            <b/>
            <sz val="9"/>
            <color indexed="81"/>
            <rFont val="Tahoma"/>
            <family val="2"/>
          </rPr>
          <t>Author:</t>
        </r>
        <r>
          <rPr>
            <sz val="9"/>
            <color indexed="81"/>
            <rFont val="Tahoma"/>
            <family val="2"/>
          </rPr>
          <t xml:space="preserve">
User inputs value of current sense resistor(s)</t>
        </r>
      </text>
    </comment>
    <comment ref="B25" authorId="0">
      <text>
        <r>
          <rPr>
            <b/>
            <sz val="9"/>
            <color indexed="81"/>
            <rFont val="Tahoma"/>
            <family val="2"/>
          </rPr>
          <t>Author:</t>
        </r>
        <r>
          <rPr>
            <sz val="9"/>
            <color indexed="81"/>
            <rFont val="Tahoma"/>
            <family val="2"/>
          </rPr>
          <t xml:space="preserve">
Suggested maximum inductance value based on manufacturer tolerance</t>
        </r>
      </text>
    </comment>
    <comment ref="B28" authorId="0">
      <text>
        <r>
          <rPr>
            <b/>
            <sz val="9"/>
            <color indexed="81"/>
            <rFont val="Tahoma"/>
            <family val="2"/>
          </rPr>
          <t>Author:</t>
        </r>
        <r>
          <rPr>
            <sz val="9"/>
            <color indexed="81"/>
            <rFont val="Tahoma"/>
            <family val="2"/>
          </rPr>
          <t xml:space="preserve">
User inputs chosen inductor value</t>
        </r>
      </text>
    </comment>
    <comment ref="B29" authorId="0">
      <text>
        <r>
          <rPr>
            <b/>
            <sz val="9"/>
            <color indexed="81"/>
            <rFont val="Tahoma"/>
            <family val="2"/>
          </rPr>
          <t>Author:</t>
        </r>
        <r>
          <rPr>
            <sz val="9"/>
            <color indexed="81"/>
            <rFont val="Tahoma"/>
            <family val="2"/>
          </rPr>
          <t xml:space="preserve">
User inputs peak inductor current, can use calculated value from cell B18</t>
        </r>
      </text>
    </comment>
    <comment ref="B30" authorId="0">
      <text>
        <r>
          <rPr>
            <b/>
            <sz val="9"/>
            <color indexed="81"/>
            <rFont val="Tahoma"/>
            <family val="2"/>
          </rPr>
          <t>Author:</t>
        </r>
        <r>
          <rPr>
            <sz val="9"/>
            <color indexed="81"/>
            <rFont val="Tahoma"/>
            <family val="2"/>
          </rPr>
          <t xml:space="preserve">
User inputs core area.  Default value 165 sq mm based on PQ3220 core</t>
        </r>
      </text>
    </comment>
    <comment ref="B31" authorId="0">
      <text>
        <r>
          <rPr>
            <b/>
            <sz val="9"/>
            <color indexed="81"/>
            <rFont val="Tahoma"/>
            <family val="2"/>
          </rPr>
          <t>Author:</t>
        </r>
        <r>
          <rPr>
            <sz val="9"/>
            <color indexed="81"/>
            <rFont val="Tahoma"/>
            <family val="2"/>
          </rPr>
          <t xml:space="preserve">
User inputs maximum peak flux density</t>
        </r>
      </text>
    </comment>
    <comment ref="B32" authorId="0">
      <text>
        <r>
          <rPr>
            <b/>
            <sz val="9"/>
            <color indexed="81"/>
            <rFont val="Tahoma"/>
            <family val="2"/>
          </rPr>
          <t>Author:</t>
        </r>
        <r>
          <rPr>
            <sz val="9"/>
            <color indexed="81"/>
            <rFont val="Tahoma"/>
            <family val="2"/>
          </rPr>
          <t xml:space="preserve">
Suggested minimum number of primary turns.  User should account for saturation</t>
        </r>
      </text>
    </comment>
    <comment ref="B33" authorId="0">
      <text>
        <r>
          <rPr>
            <b/>
            <sz val="9"/>
            <color indexed="81"/>
            <rFont val="Tahoma"/>
            <family val="2"/>
          </rPr>
          <t>Author:</t>
        </r>
        <r>
          <rPr>
            <sz val="9"/>
            <color indexed="81"/>
            <rFont val="Tahoma"/>
            <family val="2"/>
          </rPr>
          <t xml:space="preserve">
User inputs number of primary turns</t>
        </r>
      </text>
    </comment>
    <comment ref="B34" authorId="0">
      <text>
        <r>
          <rPr>
            <b/>
            <sz val="9"/>
            <color indexed="81"/>
            <rFont val="Tahoma"/>
            <family val="2"/>
          </rPr>
          <t>Author:</t>
        </r>
        <r>
          <rPr>
            <sz val="9"/>
            <color indexed="81"/>
            <rFont val="Tahoma"/>
            <family val="2"/>
          </rPr>
          <t xml:space="preserve">
Suggested number of secondary turns</t>
        </r>
      </text>
    </comment>
    <comment ref="B35" authorId="0">
      <text>
        <r>
          <rPr>
            <b/>
            <sz val="9"/>
            <color indexed="81"/>
            <rFont val="Tahoma"/>
            <family val="2"/>
          </rPr>
          <t>Author:</t>
        </r>
        <r>
          <rPr>
            <sz val="9"/>
            <color indexed="81"/>
            <rFont val="Tahoma"/>
            <family val="2"/>
          </rPr>
          <t xml:space="preserve">
User inputs number of secondary turns</t>
        </r>
      </text>
    </comment>
    <comment ref="B36" authorId="0">
      <text>
        <r>
          <rPr>
            <b/>
            <sz val="9"/>
            <color indexed="81"/>
            <rFont val="Tahoma"/>
            <family val="2"/>
          </rPr>
          <t>Author:</t>
        </r>
        <r>
          <rPr>
            <sz val="9"/>
            <color indexed="81"/>
            <rFont val="Tahoma"/>
            <family val="2"/>
          </rPr>
          <t xml:space="preserve">
User inputs desired nominal Vcc voltage</t>
        </r>
      </text>
    </comment>
    <comment ref="B37" authorId="0">
      <text>
        <r>
          <rPr>
            <b/>
            <sz val="9"/>
            <color indexed="81"/>
            <rFont val="Tahoma"/>
            <family val="2"/>
          </rPr>
          <t>Author:</t>
        </r>
        <r>
          <rPr>
            <sz val="9"/>
            <color indexed="81"/>
            <rFont val="Tahoma"/>
            <family val="2"/>
          </rPr>
          <t xml:space="preserve">
Suggested number of auxiliary winding turns</t>
        </r>
      </text>
    </comment>
    <comment ref="B38" authorId="0">
      <text>
        <r>
          <rPr>
            <b/>
            <sz val="9"/>
            <color indexed="81"/>
            <rFont val="Tahoma"/>
            <family val="2"/>
          </rPr>
          <t>Author:</t>
        </r>
        <r>
          <rPr>
            <sz val="9"/>
            <color indexed="81"/>
            <rFont val="Tahoma"/>
            <family val="2"/>
          </rPr>
          <t xml:space="preserve">
User inputs number of auxiliary turns</t>
        </r>
      </text>
    </comment>
  </commentList>
</comments>
</file>

<file path=xl/comments4.xml><?xml version="1.0" encoding="utf-8"?>
<comments xmlns="http://schemas.openxmlformats.org/spreadsheetml/2006/main">
  <authors>
    <author>Author</author>
  </authors>
  <commentList>
    <comment ref="B4" authorId="0">
      <text>
        <r>
          <rPr>
            <b/>
            <sz val="9"/>
            <color indexed="81"/>
            <rFont val="Tahoma"/>
            <family val="2"/>
          </rPr>
          <t>Author:</t>
        </r>
        <r>
          <rPr>
            <sz val="9"/>
            <color indexed="81"/>
            <rFont val="Tahoma"/>
            <family val="2"/>
          </rPr>
          <t xml:space="preserve">
5 V nominal value</t>
        </r>
      </text>
    </comment>
    <comment ref="B5" authorId="0">
      <text>
        <r>
          <rPr>
            <b/>
            <sz val="9"/>
            <color indexed="81"/>
            <rFont val="Tahoma"/>
            <family val="2"/>
          </rPr>
          <t>Author:</t>
        </r>
        <r>
          <rPr>
            <sz val="9"/>
            <color indexed="81"/>
            <rFont val="Tahoma"/>
            <family val="2"/>
          </rPr>
          <t xml:space="preserve">
Datasheet parameter</t>
        </r>
      </text>
    </comment>
    <comment ref="B6" authorId="0">
      <text>
        <r>
          <rPr>
            <b/>
            <sz val="9"/>
            <color indexed="81"/>
            <rFont val="Tahoma"/>
            <family val="2"/>
          </rPr>
          <t>Author:</t>
        </r>
        <r>
          <rPr>
            <sz val="9"/>
            <color indexed="81"/>
            <rFont val="Tahoma"/>
            <family val="2"/>
          </rPr>
          <t xml:space="preserve">
Datasheet parameter</t>
        </r>
      </text>
    </comment>
    <comment ref="B8" authorId="0">
      <text>
        <r>
          <rPr>
            <b/>
            <sz val="9"/>
            <color indexed="81"/>
            <rFont val="Tahoma"/>
            <family val="2"/>
          </rPr>
          <t>Author:</t>
        </r>
        <r>
          <rPr>
            <sz val="9"/>
            <color indexed="81"/>
            <rFont val="Tahoma"/>
            <family val="2"/>
          </rPr>
          <t xml:space="preserve">
Calculated short circuit current of QFB architecture</t>
        </r>
      </text>
    </comment>
    <comment ref="B9" authorId="0">
      <text>
        <r>
          <rPr>
            <b/>
            <sz val="9"/>
            <color indexed="81"/>
            <rFont val="Tahoma"/>
            <family val="2"/>
          </rPr>
          <t>Author:</t>
        </r>
        <r>
          <rPr>
            <sz val="9"/>
            <color indexed="81"/>
            <rFont val="Tahoma"/>
            <family val="2"/>
          </rPr>
          <t xml:space="preserve">
User inputs open circuit voltage of QFB pin.  Suggested values between 3.6 - 4 V.</t>
        </r>
      </text>
    </comment>
    <comment ref="B10" authorId="0">
      <text>
        <r>
          <rPr>
            <b/>
            <sz val="9"/>
            <color indexed="81"/>
            <rFont val="Tahoma"/>
            <family val="2"/>
          </rPr>
          <t>Author:</t>
        </r>
        <r>
          <rPr>
            <sz val="9"/>
            <color indexed="81"/>
            <rFont val="Tahoma"/>
            <family val="2"/>
          </rPr>
          <t xml:space="preserve">
Calculated thevenin equivalent resistance to achieve desired open circuit voltage.
Thevenin equivalent circuit should be used to calculate value of feedback capacitor, CQFB.</t>
        </r>
      </text>
    </comment>
    <comment ref="B11" authorId="0">
      <text>
        <r>
          <rPr>
            <b/>
            <sz val="9"/>
            <color indexed="81"/>
            <rFont val="Tahoma"/>
            <family val="2"/>
          </rPr>
          <t>Author:</t>
        </r>
        <r>
          <rPr>
            <sz val="9"/>
            <color indexed="81"/>
            <rFont val="Tahoma"/>
            <family val="2"/>
          </rPr>
          <t xml:space="preserve">
Suggested value of external pull down resistor on QFB pin</t>
        </r>
      </text>
    </comment>
  </commentList>
</comments>
</file>

<file path=xl/comments5.xml><?xml version="1.0" encoding="utf-8"?>
<comments xmlns="http://schemas.openxmlformats.org/spreadsheetml/2006/main">
  <authors>
    <author>Author</author>
  </authors>
  <commentList>
    <comment ref="B4" authorId="0">
      <text>
        <r>
          <rPr>
            <b/>
            <sz val="9"/>
            <color indexed="81"/>
            <rFont val="Tahoma"/>
            <family val="2"/>
          </rPr>
          <t>Author:</t>
        </r>
        <r>
          <rPr>
            <sz val="9"/>
            <color indexed="81"/>
            <rFont val="Tahoma"/>
            <family val="2"/>
          </rPr>
          <t xml:space="preserve">
Datasheet parameter</t>
        </r>
      </text>
    </comment>
    <comment ref="B5" authorId="0">
      <text>
        <r>
          <rPr>
            <b/>
            <sz val="9"/>
            <color indexed="81"/>
            <rFont val="Tahoma"/>
            <family val="2"/>
          </rPr>
          <t>Author:</t>
        </r>
        <r>
          <rPr>
            <sz val="9"/>
            <color indexed="81"/>
            <rFont val="Tahoma"/>
            <family val="2"/>
          </rPr>
          <t xml:space="preserve">
Datasheet parameter</t>
        </r>
      </text>
    </comment>
    <comment ref="B6" authorId="0">
      <text>
        <r>
          <rPr>
            <b/>
            <sz val="9"/>
            <color indexed="81"/>
            <rFont val="Tahoma"/>
            <family val="2"/>
          </rPr>
          <t>Author:</t>
        </r>
        <r>
          <rPr>
            <sz val="9"/>
            <color indexed="81"/>
            <rFont val="Tahoma"/>
            <family val="2"/>
          </rPr>
          <t xml:space="preserve">
Datasheet parameter</t>
        </r>
      </text>
    </comment>
    <comment ref="B7" authorId="0">
      <text>
        <r>
          <rPr>
            <b/>
            <sz val="9"/>
            <color indexed="81"/>
            <rFont val="Tahoma"/>
            <family val="2"/>
          </rPr>
          <t>Author:</t>
        </r>
        <r>
          <rPr>
            <sz val="9"/>
            <color indexed="81"/>
            <rFont val="Tahoma"/>
            <family val="2"/>
          </rPr>
          <t xml:space="preserve">
Datasheet parameter</t>
        </r>
      </text>
    </comment>
    <comment ref="B8" authorId="0">
      <text>
        <r>
          <rPr>
            <b/>
            <sz val="9"/>
            <color indexed="81"/>
            <rFont val="Tahoma"/>
            <family val="2"/>
          </rPr>
          <t>Author:</t>
        </r>
        <r>
          <rPr>
            <sz val="9"/>
            <color indexed="81"/>
            <rFont val="Tahoma"/>
            <family val="2"/>
          </rPr>
          <t xml:space="preserve">
User inputs size of Vcc capacitor</t>
        </r>
      </text>
    </comment>
    <comment ref="B10" authorId="0">
      <text>
        <r>
          <rPr>
            <b/>
            <sz val="9"/>
            <color indexed="81"/>
            <rFont val="Tahoma"/>
            <family val="2"/>
          </rPr>
          <t>Author:</t>
        </r>
        <r>
          <rPr>
            <sz val="9"/>
            <color indexed="81"/>
            <rFont val="Tahoma"/>
            <family val="2"/>
          </rPr>
          <t xml:space="preserve">
Calculated time for Vcc to get above inhibit threshold</t>
        </r>
      </text>
    </comment>
    <comment ref="B11" authorId="0">
      <text>
        <r>
          <rPr>
            <b/>
            <sz val="9"/>
            <color indexed="81"/>
            <rFont val="Tahoma"/>
            <family val="2"/>
          </rPr>
          <t>Author:</t>
        </r>
        <r>
          <rPr>
            <sz val="9"/>
            <color indexed="81"/>
            <rFont val="Tahoma"/>
            <family val="2"/>
          </rPr>
          <t xml:space="preserve">
Calculated time for Vcc to reach Vcc(on) threshold</t>
        </r>
      </text>
    </comment>
    <comment ref="B12" authorId="0">
      <text>
        <r>
          <rPr>
            <b/>
            <sz val="9"/>
            <color indexed="81"/>
            <rFont val="Tahoma"/>
            <family val="2"/>
          </rPr>
          <t>Author:</t>
        </r>
        <r>
          <rPr>
            <sz val="9"/>
            <color indexed="81"/>
            <rFont val="Tahoma"/>
            <family val="2"/>
          </rPr>
          <t xml:space="preserve">
Datasheet parameter, overload timer is maximum amount of time after Vcc(on) before regulation is reached</t>
        </r>
      </text>
    </comment>
    <comment ref="B14" authorId="0">
      <text>
        <r>
          <rPr>
            <b/>
            <sz val="9"/>
            <color indexed="81"/>
            <rFont val="Tahoma"/>
            <family val="2"/>
          </rPr>
          <t>Author:</t>
        </r>
        <r>
          <rPr>
            <sz val="9"/>
            <color indexed="81"/>
            <rFont val="Tahoma"/>
            <family val="2"/>
          </rPr>
          <t xml:space="preserve">
Calculated maximum startup time</t>
        </r>
      </text>
    </comment>
  </commentList>
</comments>
</file>

<file path=xl/comments6.xml><?xml version="1.0" encoding="utf-8"?>
<comments xmlns="http://schemas.openxmlformats.org/spreadsheetml/2006/main">
  <authors>
    <author>Author</author>
  </authors>
  <commentList>
    <comment ref="B3" authorId="0">
      <text>
        <r>
          <rPr>
            <b/>
            <sz val="9"/>
            <color indexed="81"/>
            <rFont val="Tahoma"/>
            <family val="2"/>
          </rPr>
          <t>Author:</t>
        </r>
        <r>
          <rPr>
            <sz val="9"/>
            <color indexed="81"/>
            <rFont val="Tahoma"/>
            <family val="2"/>
          </rPr>
          <t xml:space="preserve">
Datasheet parameter.  PSTimer pin threshold to enter Power Savings Mode </t>
        </r>
      </text>
    </comment>
    <comment ref="B4" authorId="0">
      <text>
        <r>
          <rPr>
            <b/>
            <sz val="9"/>
            <color indexed="81"/>
            <rFont val="Tahoma"/>
            <family val="2"/>
          </rPr>
          <t>Author:</t>
        </r>
        <r>
          <rPr>
            <sz val="9"/>
            <color indexed="81"/>
            <rFont val="Tahoma"/>
            <family val="2"/>
          </rPr>
          <t xml:space="preserve">
Datasheet parameter.  PSTimer pin threshold to turn on IPSTimer2</t>
        </r>
      </text>
    </comment>
    <comment ref="B5" authorId="0">
      <text>
        <r>
          <rPr>
            <b/>
            <sz val="9"/>
            <color indexed="81"/>
            <rFont val="Tahoma"/>
            <family val="2"/>
          </rPr>
          <t>Author:</t>
        </r>
        <r>
          <rPr>
            <sz val="9"/>
            <color indexed="81"/>
            <rFont val="Tahoma"/>
            <family val="2"/>
          </rPr>
          <t xml:space="preserve">
Datasheet parameter.  Nominal PSTimer current source when PSTimer voltage is below 1 V.</t>
        </r>
      </text>
    </comment>
    <comment ref="B6" authorId="0">
      <text>
        <r>
          <rPr>
            <b/>
            <sz val="9"/>
            <color indexed="81"/>
            <rFont val="Tahoma"/>
            <family val="2"/>
          </rPr>
          <t>Author:</t>
        </r>
        <r>
          <rPr>
            <sz val="9"/>
            <color indexed="81"/>
            <rFont val="Tahoma"/>
            <family val="2"/>
          </rPr>
          <t xml:space="preserve">
Datasheet parameter.  PSTimer pin current when voltage is greater than 1 V.</t>
        </r>
      </text>
    </comment>
    <comment ref="B8" authorId="0">
      <text>
        <r>
          <rPr>
            <b/>
            <sz val="9"/>
            <color indexed="81"/>
            <rFont val="Tahoma"/>
            <family val="2"/>
          </rPr>
          <t>Author:</t>
        </r>
        <r>
          <rPr>
            <sz val="9"/>
            <color indexed="81"/>
            <rFont val="Tahoma"/>
            <family val="2"/>
          </rPr>
          <t xml:space="preserve">
Reference Figure 7 in datasheet.  Minimum required PSM pulldown resistance.</t>
        </r>
      </text>
    </comment>
    <comment ref="B9" authorId="0">
      <text>
        <r>
          <rPr>
            <b/>
            <sz val="9"/>
            <color indexed="81"/>
            <rFont val="Tahoma"/>
            <family val="2"/>
          </rPr>
          <t>Author:</t>
        </r>
        <r>
          <rPr>
            <sz val="9"/>
            <color indexed="81"/>
            <rFont val="Tahoma"/>
            <family val="2"/>
          </rPr>
          <t xml:space="preserve">
User inputs PSTimer pull down resistance.  </t>
        </r>
      </text>
    </comment>
    <comment ref="B10" authorId="0">
      <text>
        <r>
          <rPr>
            <b/>
            <sz val="9"/>
            <color indexed="81"/>
            <rFont val="Tahoma"/>
            <family val="2"/>
          </rPr>
          <t>Author:</t>
        </r>
        <r>
          <rPr>
            <sz val="9"/>
            <color indexed="81"/>
            <rFont val="Tahoma"/>
            <family val="2"/>
          </rPr>
          <t xml:space="preserve">
From equation 3 in datasheet.  User inputs desired time to enter PSM, tPSM(in1) dominates time to enter PSM</t>
        </r>
      </text>
    </comment>
    <comment ref="B11" authorId="0">
      <text>
        <r>
          <rPr>
            <b/>
            <sz val="9"/>
            <color indexed="81"/>
            <rFont val="Tahoma"/>
            <family val="2"/>
          </rPr>
          <t>Author:</t>
        </r>
        <r>
          <rPr>
            <sz val="9"/>
            <color indexed="81"/>
            <rFont val="Tahoma"/>
            <family val="2"/>
          </rPr>
          <t xml:space="preserve">
Calculated PSTimer capacitance necessary to achieve tPSM(in1)</t>
        </r>
      </text>
    </comment>
    <comment ref="B12" authorId="0">
      <text>
        <r>
          <rPr>
            <b/>
            <sz val="9"/>
            <color indexed="81"/>
            <rFont val="Tahoma"/>
            <family val="2"/>
          </rPr>
          <t>Author:</t>
        </r>
        <r>
          <rPr>
            <sz val="9"/>
            <color indexed="81"/>
            <rFont val="Tahoma"/>
            <family val="2"/>
          </rPr>
          <t xml:space="preserve">
Calculated value of tPSM(in2) from equation 4 in datasheet.  Time to enter PSM dominated by tPSM(in1)</t>
        </r>
      </text>
    </comment>
  </commentList>
</comments>
</file>

<file path=xl/comments7.xml><?xml version="1.0" encoding="utf-8"?>
<comments xmlns="http://schemas.openxmlformats.org/spreadsheetml/2006/main">
  <authors>
    <author>Author</author>
  </authors>
  <commentList>
    <comment ref="B4" authorId="0">
      <text>
        <r>
          <rPr>
            <b/>
            <sz val="9"/>
            <color indexed="81"/>
            <rFont val="Tahoma"/>
            <family val="2"/>
          </rPr>
          <t>Author:</t>
        </r>
        <r>
          <rPr>
            <sz val="9"/>
            <color indexed="81"/>
            <rFont val="Tahoma"/>
            <family val="2"/>
          </rPr>
          <t xml:space="preserve">
Datasheet parameter.  Use maximum time for worst case</t>
        </r>
      </text>
    </comment>
    <comment ref="B5" authorId="0">
      <text>
        <r>
          <rPr>
            <b/>
            <sz val="9"/>
            <color indexed="81"/>
            <rFont val="Tahoma"/>
            <family val="2"/>
          </rPr>
          <t>Author:</t>
        </r>
        <r>
          <rPr>
            <sz val="9"/>
            <color indexed="81"/>
            <rFont val="Tahoma"/>
            <family val="2"/>
          </rPr>
          <t xml:space="preserve">
Datasheet parameter.  Use minimum current for worst case</t>
        </r>
      </text>
    </comment>
    <comment ref="B6" authorId="0">
      <text>
        <r>
          <rPr>
            <b/>
            <sz val="9"/>
            <color indexed="81"/>
            <rFont val="Tahoma"/>
            <family val="2"/>
          </rPr>
          <t>Author:</t>
        </r>
        <r>
          <rPr>
            <sz val="9"/>
            <color indexed="81"/>
            <rFont val="Tahoma"/>
            <family val="2"/>
          </rPr>
          <t xml:space="preserve">
Datasheet parameter.  Use minimum voltage for worst case</t>
        </r>
      </text>
    </comment>
    <comment ref="B7" authorId="0">
      <text>
        <r>
          <rPr>
            <b/>
            <sz val="9"/>
            <color indexed="81"/>
            <rFont val="Tahoma"/>
            <family val="2"/>
          </rPr>
          <t>Author:</t>
        </r>
        <r>
          <rPr>
            <sz val="9"/>
            <color indexed="81"/>
            <rFont val="Tahoma"/>
            <family val="2"/>
          </rPr>
          <t xml:space="preserve">
Datasheet parameter.  Use minimum current for worst case</t>
        </r>
      </text>
    </comment>
    <comment ref="B10" authorId="0">
      <text>
        <r>
          <rPr>
            <b/>
            <sz val="9"/>
            <color indexed="81"/>
            <rFont val="Tahoma"/>
            <family val="2"/>
          </rPr>
          <t>Author:</t>
        </r>
        <r>
          <rPr>
            <sz val="9"/>
            <color indexed="81"/>
            <rFont val="Tahoma"/>
            <family val="2"/>
          </rPr>
          <t xml:space="preserve">
Calculated maximum X capacitor voltage based on maximum AC input voltage</t>
        </r>
      </text>
    </comment>
    <comment ref="B11" authorId="0">
      <text>
        <r>
          <rPr>
            <b/>
            <sz val="9"/>
            <color indexed="81"/>
            <rFont val="Tahoma"/>
            <family val="2"/>
          </rPr>
          <t>Author:</t>
        </r>
        <r>
          <rPr>
            <sz val="9"/>
            <color indexed="81"/>
            <rFont val="Tahoma"/>
            <family val="2"/>
          </rPr>
          <t xml:space="preserve">
User inputs nominal Vcc voltage</t>
        </r>
      </text>
    </comment>
    <comment ref="B12" authorId="0">
      <text>
        <r>
          <rPr>
            <b/>
            <sz val="9"/>
            <color indexed="81"/>
            <rFont val="Tahoma"/>
            <family val="2"/>
          </rPr>
          <t>Author:</t>
        </r>
        <r>
          <rPr>
            <sz val="9"/>
            <color indexed="81"/>
            <rFont val="Tahoma"/>
            <family val="2"/>
          </rPr>
          <t xml:space="preserve">
User inputs value of X capacitor(s)</t>
        </r>
      </text>
    </comment>
    <comment ref="B13" authorId="0">
      <text>
        <r>
          <rPr>
            <b/>
            <sz val="9"/>
            <color indexed="81"/>
            <rFont val="Tahoma"/>
            <family val="2"/>
          </rPr>
          <t>Author:</t>
        </r>
        <r>
          <rPr>
            <sz val="9"/>
            <color indexed="81"/>
            <rFont val="Tahoma"/>
            <family val="2"/>
          </rPr>
          <t xml:space="preserve">
User inputs value of Vcc cap</t>
        </r>
      </text>
    </comment>
    <comment ref="B14" authorId="0">
      <text>
        <r>
          <rPr>
            <b/>
            <sz val="9"/>
            <color indexed="81"/>
            <rFont val="Tahoma"/>
            <family val="2"/>
          </rPr>
          <t>Author:</t>
        </r>
        <r>
          <rPr>
            <sz val="9"/>
            <color indexed="81"/>
            <rFont val="Tahoma"/>
            <family val="2"/>
          </rPr>
          <t xml:space="preserve">
User inputs value of AUX capacitor if present in path of discharge circuit</t>
        </r>
      </text>
    </comment>
    <comment ref="B16" authorId="0">
      <text>
        <r>
          <rPr>
            <b/>
            <sz val="9"/>
            <color indexed="81"/>
            <rFont val="Tahoma"/>
            <family val="2"/>
          </rPr>
          <t>Author:</t>
        </r>
        <r>
          <rPr>
            <sz val="9"/>
            <color indexed="81"/>
            <rFont val="Tahoma"/>
            <family val="2"/>
          </rPr>
          <t xml:space="preserve">
Calculated time needed to discharge Vcc to Vcc(off)</t>
        </r>
      </text>
    </comment>
    <comment ref="B17" authorId="0">
      <text>
        <r>
          <rPr>
            <b/>
            <sz val="9"/>
            <color indexed="81"/>
            <rFont val="Tahoma"/>
            <family val="2"/>
          </rPr>
          <t>Author:</t>
        </r>
        <r>
          <rPr>
            <sz val="9"/>
            <color indexed="81"/>
            <rFont val="Tahoma"/>
            <family val="2"/>
          </rPr>
          <t xml:space="preserve">
Calculated time needed to transfer charge on X capacitor to Vcc capacitor</t>
        </r>
      </text>
    </comment>
    <comment ref="B19" authorId="0">
      <text>
        <r>
          <rPr>
            <b/>
            <sz val="9"/>
            <color indexed="81"/>
            <rFont val="Tahoma"/>
            <family val="2"/>
          </rPr>
          <t>Author:</t>
        </r>
        <r>
          <rPr>
            <sz val="9"/>
            <color indexed="81"/>
            <rFont val="Tahoma"/>
            <family val="2"/>
          </rPr>
          <t xml:space="preserve">
Total time needed to discharge X capacitor.  Sum of the line removal time, time to discharge Vcc to Vcc(off), and time to transfer charge from X capacitor to Vcc capacitor</t>
        </r>
      </text>
    </comment>
  </commentList>
</comments>
</file>

<file path=xl/comments8.xml><?xml version="1.0" encoding="utf-8"?>
<comments xmlns="http://schemas.openxmlformats.org/spreadsheetml/2006/main">
  <authors>
    <author>Author</author>
  </authors>
  <commentList>
    <comment ref="B5" authorId="0">
      <text>
        <r>
          <rPr>
            <b/>
            <sz val="9"/>
            <color indexed="81"/>
            <rFont val="Tahoma"/>
            <family val="2"/>
          </rPr>
          <t>Author:</t>
        </r>
        <r>
          <rPr>
            <sz val="9"/>
            <color indexed="81"/>
            <rFont val="Tahoma"/>
            <family val="2"/>
          </rPr>
          <t xml:space="preserve">
Primary inductance of flyback transformer from user input on FB Transformer worksheet</t>
        </r>
      </text>
    </comment>
    <comment ref="B6" authorId="0">
      <text>
        <r>
          <rPr>
            <b/>
            <sz val="9"/>
            <color indexed="81"/>
            <rFont val="Tahoma"/>
            <family val="2"/>
          </rPr>
          <t>Author:</t>
        </r>
        <r>
          <rPr>
            <sz val="9"/>
            <color indexed="81"/>
            <rFont val="Tahoma"/>
            <family val="2"/>
          </rPr>
          <t xml:space="preserve">
Value of current sense resistors from user input on FB Transformer worksheet</t>
        </r>
      </text>
    </comment>
    <comment ref="B7" authorId="0">
      <text>
        <r>
          <rPr>
            <b/>
            <sz val="9"/>
            <color indexed="81"/>
            <rFont val="Tahoma"/>
            <family val="2"/>
          </rPr>
          <t>Author:</t>
        </r>
        <r>
          <rPr>
            <sz val="9"/>
            <color indexed="81"/>
            <rFont val="Tahoma"/>
            <family val="2"/>
          </rPr>
          <t xml:space="preserve">
User inputs value from datasheet.</t>
        </r>
      </text>
    </comment>
    <comment ref="B9" authorId="0">
      <text>
        <r>
          <rPr>
            <b/>
            <sz val="9"/>
            <color indexed="81"/>
            <rFont val="Tahoma"/>
            <family val="2"/>
          </rPr>
          <t>Author:</t>
        </r>
        <r>
          <rPr>
            <sz val="9"/>
            <color indexed="81"/>
            <rFont val="Tahoma"/>
            <family val="2"/>
          </rPr>
          <t xml:space="preserve">
Primary turns of flyback transformer from user input on FB Transformer worksheet</t>
        </r>
      </text>
    </comment>
    <comment ref="B10" authorId="0">
      <text>
        <r>
          <rPr>
            <b/>
            <sz val="9"/>
            <color indexed="81"/>
            <rFont val="Tahoma"/>
            <family val="2"/>
          </rPr>
          <t>Author:</t>
        </r>
        <r>
          <rPr>
            <sz val="9"/>
            <color indexed="81"/>
            <rFont val="Tahoma"/>
            <family val="2"/>
          </rPr>
          <t xml:space="preserve">
Secondary turns of flyback transformer from user input on FB Transformer worksheet</t>
        </r>
      </text>
    </comment>
    <comment ref="B11" authorId="0">
      <text>
        <r>
          <rPr>
            <b/>
            <sz val="9"/>
            <color indexed="81"/>
            <rFont val="Tahoma"/>
            <family val="2"/>
          </rPr>
          <t>Author:</t>
        </r>
        <r>
          <rPr>
            <sz val="9"/>
            <color indexed="81"/>
            <rFont val="Tahoma"/>
            <family val="2"/>
          </rPr>
          <t xml:space="preserve">
AUX turns of flyback transformer from user input on FB Transformer worksheet</t>
        </r>
      </text>
    </comment>
    <comment ref="B12" authorId="0">
      <text>
        <r>
          <rPr>
            <b/>
            <sz val="9"/>
            <color indexed="81"/>
            <rFont val="Tahoma"/>
            <family val="2"/>
          </rPr>
          <t>Author:</t>
        </r>
        <r>
          <rPr>
            <sz val="9"/>
            <color indexed="81"/>
            <rFont val="Tahoma"/>
            <family val="2"/>
          </rPr>
          <t xml:space="preserve">
Calculated maximum on-time at low line.</t>
        </r>
      </text>
    </comment>
    <comment ref="B13" authorId="0">
      <text>
        <r>
          <rPr>
            <b/>
            <sz val="9"/>
            <color indexed="81"/>
            <rFont val="Tahoma"/>
            <family val="2"/>
          </rPr>
          <t>Author:</t>
        </r>
        <r>
          <rPr>
            <sz val="9"/>
            <color indexed="81"/>
            <rFont val="Tahoma"/>
            <family val="2"/>
          </rPr>
          <t xml:space="preserve">
Calculated maximum on-time at high line.</t>
        </r>
      </text>
    </comment>
    <comment ref="B14" authorId="0">
      <text>
        <r>
          <rPr>
            <b/>
            <sz val="9"/>
            <color indexed="81"/>
            <rFont val="Tahoma"/>
            <family val="2"/>
          </rPr>
          <t>Author:</t>
        </r>
        <r>
          <rPr>
            <sz val="9"/>
            <color indexed="81"/>
            <rFont val="Tahoma"/>
            <family val="2"/>
          </rPr>
          <t xml:space="preserve">
Calculated maximum demagnetization time</t>
        </r>
      </text>
    </comment>
    <comment ref="B15" authorId="0">
      <text>
        <r>
          <rPr>
            <b/>
            <sz val="9"/>
            <color indexed="81"/>
            <rFont val="Tahoma"/>
            <family val="2"/>
          </rPr>
          <t>Author:</t>
        </r>
        <r>
          <rPr>
            <sz val="9"/>
            <color indexed="81"/>
            <rFont val="Tahoma"/>
            <family val="2"/>
          </rPr>
          <t xml:space="preserve">
Calculated flyback total power capability at low line</t>
        </r>
      </text>
    </comment>
    <comment ref="B16" authorId="0">
      <text>
        <r>
          <rPr>
            <b/>
            <sz val="9"/>
            <color indexed="81"/>
            <rFont val="Tahoma"/>
            <family val="2"/>
          </rPr>
          <t>Author:</t>
        </r>
        <r>
          <rPr>
            <sz val="9"/>
            <color indexed="81"/>
            <rFont val="Tahoma"/>
            <family val="2"/>
          </rPr>
          <t xml:space="preserve">
Calculated flyback total power capability at high line.</t>
        </r>
      </text>
    </comment>
    <comment ref="B18" authorId="0">
      <text>
        <r>
          <rPr>
            <b/>
            <sz val="9"/>
            <color indexed="81"/>
            <rFont val="Tahoma"/>
            <family val="2"/>
          </rPr>
          <t>Author:</t>
        </r>
        <r>
          <rPr>
            <sz val="9"/>
            <color indexed="81"/>
            <rFont val="Tahoma"/>
            <family val="2"/>
          </rPr>
          <t xml:space="preserve">
User inputs desired peak power capability at high line. </t>
        </r>
      </text>
    </comment>
    <comment ref="B24" authorId="0">
      <text>
        <r>
          <rPr>
            <b/>
            <sz val="9"/>
            <color indexed="81"/>
            <rFont val="Tahoma"/>
            <family val="2"/>
          </rPr>
          <t>Author:</t>
        </r>
        <r>
          <rPr>
            <sz val="9"/>
            <color indexed="81"/>
            <rFont val="Tahoma"/>
            <family val="2"/>
          </rPr>
          <t xml:space="preserve">
Amount of over-power protection needed to achieve peak power limit</t>
        </r>
      </text>
    </comment>
    <comment ref="B27" authorId="0">
      <text>
        <r>
          <rPr>
            <b/>
            <sz val="9"/>
            <color indexed="81"/>
            <rFont val="Tahoma"/>
            <family val="2"/>
          </rPr>
          <t>Author:</t>
        </r>
        <r>
          <rPr>
            <sz val="9"/>
            <color indexed="81"/>
            <rFont val="Tahoma"/>
            <family val="2"/>
          </rPr>
          <t xml:space="preserve">
Reference figure. User inputs value of QZCD resistor.  Typical values 1k</t>
        </r>
        <r>
          <rPr>
            <sz val="9"/>
            <color indexed="81"/>
            <rFont val="Calibri"/>
            <family val="2"/>
          </rPr>
          <t>Ω</t>
        </r>
        <r>
          <rPr>
            <sz val="9"/>
            <color indexed="81"/>
            <rFont val="Tahoma"/>
            <family val="2"/>
          </rPr>
          <t xml:space="preserve"> to 10k</t>
        </r>
        <r>
          <rPr>
            <sz val="9"/>
            <color indexed="81"/>
            <rFont val="Calibri"/>
            <family val="2"/>
          </rPr>
          <t>Ω</t>
        </r>
        <r>
          <rPr>
            <sz val="9"/>
            <color indexed="81"/>
            <rFont val="Tahoma"/>
            <family val="2"/>
          </rPr>
          <t xml:space="preserve"> </t>
        </r>
      </text>
    </comment>
    <comment ref="B28" authorId="0">
      <text>
        <r>
          <rPr>
            <b/>
            <sz val="9"/>
            <color indexed="81"/>
            <rFont val="Tahoma"/>
            <family val="2"/>
          </rPr>
          <t>Author:</t>
        </r>
        <r>
          <rPr>
            <sz val="9"/>
            <color indexed="81"/>
            <rFont val="Tahoma"/>
            <family val="2"/>
          </rPr>
          <t xml:space="preserve">
Press GO button to calculate values of over-power protection circuit after user has input value of QZCD resistor.</t>
        </r>
      </text>
    </comment>
  </commentList>
</comments>
</file>

<file path=xl/comments9.xml><?xml version="1.0" encoding="utf-8"?>
<comments xmlns="http://schemas.openxmlformats.org/spreadsheetml/2006/main">
  <authors>
    <author>Author</author>
  </authors>
  <commentList>
    <comment ref="B4" authorId="0">
      <text>
        <r>
          <rPr>
            <b/>
            <sz val="9"/>
            <color indexed="81"/>
            <rFont val="Tahoma"/>
            <family val="2"/>
          </rPr>
          <t>Author:</t>
        </r>
        <r>
          <rPr>
            <sz val="9"/>
            <color indexed="81"/>
            <rFont val="Tahoma"/>
            <family val="2"/>
          </rPr>
          <t xml:space="preserve">
Primary inductance of flyback transformer from user input on FB Transformer worksheet</t>
        </r>
      </text>
    </comment>
    <comment ref="B5" authorId="0">
      <text>
        <r>
          <rPr>
            <b/>
            <sz val="9"/>
            <color indexed="81"/>
            <rFont val="Tahoma"/>
            <family val="2"/>
          </rPr>
          <t>Author:</t>
        </r>
        <r>
          <rPr>
            <sz val="9"/>
            <color indexed="81"/>
            <rFont val="Tahoma"/>
            <family val="2"/>
          </rPr>
          <t xml:space="preserve">
Primary turns of flyback transformer from user input on FB Transformer worksheet</t>
        </r>
      </text>
    </comment>
    <comment ref="B6" authorId="0">
      <text>
        <r>
          <rPr>
            <b/>
            <sz val="9"/>
            <color indexed="81"/>
            <rFont val="Tahoma"/>
            <family val="2"/>
          </rPr>
          <t>Author:</t>
        </r>
        <r>
          <rPr>
            <sz val="9"/>
            <color indexed="81"/>
            <rFont val="Tahoma"/>
            <family val="2"/>
          </rPr>
          <t xml:space="preserve">
Secondary turns of flyback transformer from user input on FB Transformer worksheet</t>
        </r>
      </text>
    </comment>
    <comment ref="B7" authorId="0">
      <text>
        <r>
          <rPr>
            <b/>
            <sz val="9"/>
            <color indexed="81"/>
            <rFont val="Tahoma"/>
            <family val="2"/>
          </rPr>
          <t>Author:</t>
        </r>
        <r>
          <rPr>
            <sz val="9"/>
            <color indexed="81"/>
            <rFont val="Tahoma"/>
            <family val="2"/>
          </rPr>
          <t xml:space="preserve">
AUX turns of flyback transformer from user input on FB Transformer worksheet</t>
        </r>
      </text>
    </comment>
    <comment ref="B8" authorId="0">
      <text>
        <r>
          <rPr>
            <b/>
            <sz val="9"/>
            <color indexed="81"/>
            <rFont val="Tahoma"/>
            <family val="2"/>
          </rPr>
          <t>Author:</t>
        </r>
        <r>
          <rPr>
            <sz val="9"/>
            <color indexed="81"/>
            <rFont val="Tahoma"/>
            <family val="2"/>
          </rPr>
          <t xml:space="preserve">
Value of current sense resistors from user input on FB Transformer worksheet</t>
        </r>
      </text>
    </comment>
    <comment ref="B11" authorId="0">
      <text>
        <r>
          <rPr>
            <b/>
            <sz val="9"/>
            <color indexed="81"/>
            <rFont val="Tahoma"/>
            <family val="2"/>
          </rPr>
          <t>Author:</t>
        </r>
        <r>
          <rPr>
            <sz val="9"/>
            <color indexed="81"/>
            <rFont val="Tahoma"/>
            <family val="2"/>
          </rPr>
          <t xml:space="preserve">
User inputs the value of drain - source lump capacitance of flyback MOSFET</t>
        </r>
      </text>
    </comment>
    <comment ref="B13" authorId="0">
      <text>
        <r>
          <rPr>
            <b/>
            <sz val="9"/>
            <color indexed="81"/>
            <rFont val="Tahoma"/>
            <family val="2"/>
          </rPr>
          <t>Author:</t>
        </r>
        <r>
          <rPr>
            <sz val="9"/>
            <color indexed="81"/>
            <rFont val="Tahoma"/>
            <family val="2"/>
          </rPr>
          <t xml:space="preserve">
Datasheet parameter</t>
        </r>
      </text>
    </comment>
    <comment ref="B15" authorId="0">
      <text>
        <r>
          <rPr>
            <b/>
            <sz val="9"/>
            <color indexed="81"/>
            <rFont val="Tahoma"/>
            <family val="2"/>
          </rPr>
          <t>Author:</t>
        </r>
        <r>
          <rPr>
            <sz val="9"/>
            <color indexed="81"/>
            <rFont val="Tahoma"/>
            <family val="2"/>
          </rPr>
          <t xml:space="preserve">
User inputs flyback input voltage</t>
        </r>
      </text>
    </comment>
    <comment ref="B16" authorId="0">
      <text>
        <r>
          <rPr>
            <b/>
            <sz val="9"/>
            <color indexed="81"/>
            <rFont val="Tahoma"/>
            <family val="2"/>
          </rPr>
          <t>Author:</t>
        </r>
        <r>
          <rPr>
            <sz val="9"/>
            <color indexed="81"/>
            <rFont val="Tahoma"/>
            <family val="2"/>
          </rPr>
          <t xml:space="preserve">
Capacitance used on QCT pin</t>
        </r>
      </text>
    </comment>
    <comment ref="B17" authorId="0">
      <text>
        <r>
          <rPr>
            <b/>
            <sz val="9"/>
            <color indexed="81"/>
            <rFont val="Tahoma"/>
            <family val="2"/>
          </rPr>
          <t>Author:</t>
        </r>
        <r>
          <rPr>
            <sz val="9"/>
            <color indexed="81"/>
            <rFont val="Tahoma"/>
            <family val="2"/>
          </rPr>
          <t xml:space="preserve">
Datasheet Parameter</t>
        </r>
      </text>
    </comment>
    <comment ref="B18" authorId="0">
      <text>
        <r>
          <rPr>
            <b/>
            <sz val="9"/>
            <color indexed="81"/>
            <rFont val="Tahoma"/>
            <family val="2"/>
          </rPr>
          <t>Author:</t>
        </r>
        <r>
          <rPr>
            <sz val="9"/>
            <color indexed="81"/>
            <rFont val="Tahoma"/>
            <family val="2"/>
          </rPr>
          <t xml:space="preserve">
User inputs power level at which to disable the PFC.
Clicking GO button will plot the switching frequency vs. output power and calculate values for RPONOFF and CPONOFF</t>
        </r>
      </text>
    </comment>
    <comment ref="B21" authorId="0">
      <text>
        <r>
          <rPr>
            <b/>
            <sz val="9"/>
            <color indexed="81"/>
            <rFont val="Tahoma"/>
            <family val="2"/>
          </rPr>
          <t>Author:</t>
        </r>
        <r>
          <rPr>
            <sz val="9"/>
            <color indexed="81"/>
            <rFont val="Tahoma"/>
            <family val="2"/>
          </rPr>
          <t xml:space="preserve">
Calculates value of Primary RMS current at maximum output power.  Can be used for transformer and flyback MOSFET conduction loss calculation</t>
        </r>
      </text>
    </comment>
    <comment ref="B22" authorId="0">
      <text>
        <r>
          <rPr>
            <b/>
            <sz val="9"/>
            <color indexed="81"/>
            <rFont val="Tahoma"/>
            <family val="2"/>
          </rPr>
          <t>Author:</t>
        </r>
        <r>
          <rPr>
            <sz val="9"/>
            <color indexed="81"/>
            <rFont val="Tahoma"/>
            <family val="2"/>
          </rPr>
          <t xml:space="preserve">
Calculates value of Secondary RMS current at maximum output power.  Can be used for transformer and synchronous rectifier MOSFET conduction loss calculation</t>
        </r>
      </text>
    </comment>
  </commentList>
</comments>
</file>

<file path=xl/sharedStrings.xml><?xml version="1.0" encoding="utf-8"?>
<sst xmlns="http://schemas.openxmlformats.org/spreadsheetml/2006/main" count="422" uniqueCount="215">
  <si>
    <t>Output Voltage</t>
  </si>
  <si>
    <t>Ton</t>
  </si>
  <si>
    <t>Toff</t>
  </si>
  <si>
    <t>Valley</t>
  </si>
  <si>
    <t>Rpd</t>
  </si>
  <si>
    <t>Voc</t>
  </si>
  <si>
    <t>Isc</t>
  </si>
  <si>
    <t>Np</t>
  </si>
  <si>
    <t>Ns</t>
  </si>
  <si>
    <t>Naux</t>
  </si>
  <si>
    <t>iqct</t>
  </si>
  <si>
    <t>Po</t>
  </si>
  <si>
    <t>CVcc</t>
  </si>
  <si>
    <t>Vcc(on)</t>
  </si>
  <si>
    <t>Tinhibit</t>
  </si>
  <si>
    <t>Tovld</t>
  </si>
  <si>
    <t>Vdc</t>
  </si>
  <si>
    <t>%</t>
  </si>
  <si>
    <t>Maximum Turns Ratio</t>
  </si>
  <si>
    <t>kHz</t>
  </si>
  <si>
    <t>Minimum Switching Frequency</t>
  </si>
  <si>
    <t>W</t>
  </si>
  <si>
    <t>Maximum Output Power</t>
  </si>
  <si>
    <t>PFC Specifications</t>
  </si>
  <si>
    <t>Suggested Turns Ratio</t>
  </si>
  <si>
    <t>Hz</t>
  </si>
  <si>
    <t>Maximum Line Frequency</t>
  </si>
  <si>
    <t>Minimum Line Frequency</t>
  </si>
  <si>
    <t>Output Current</t>
  </si>
  <si>
    <t>Vac</t>
  </si>
  <si>
    <t>Maximum Input Voltage</t>
  </si>
  <si>
    <t>Regulated Output Voltage</t>
  </si>
  <si>
    <t>Minimum Input Voltage</t>
  </si>
  <si>
    <t>Flyback Specifications</t>
  </si>
  <si>
    <t>Line Specifications</t>
  </si>
  <si>
    <t>Specifications</t>
  </si>
  <si>
    <t>System Specifications</t>
  </si>
  <si>
    <t>High Line Output Voltage</t>
  </si>
  <si>
    <t>Maximum Input Power</t>
  </si>
  <si>
    <t>RMS Input Current</t>
  </si>
  <si>
    <t>Peak Inductor Current</t>
  </si>
  <si>
    <t>PFC Low Line Operation</t>
  </si>
  <si>
    <t>PFC High Line Operation</t>
  </si>
  <si>
    <t>Maximum  Input Voltage</t>
  </si>
  <si>
    <t>Inductor Tolerance</t>
  </si>
  <si>
    <t>Suggested Inductor Value</t>
  </si>
  <si>
    <t>Current Sense Resistor Value</t>
  </si>
  <si>
    <t>Turns Ratio</t>
  </si>
  <si>
    <t>Minimum Inductor Demag Voltage</t>
  </si>
  <si>
    <t>Primary Turns</t>
  </si>
  <si>
    <t>Primary Inductance</t>
  </si>
  <si>
    <t>Peak Inductor Current OP</t>
  </si>
  <si>
    <t>Core area</t>
  </si>
  <si>
    <t>QR Operation</t>
  </si>
  <si>
    <t>QR MOSFET VBR</t>
  </si>
  <si>
    <t>SR MOSFET VBR</t>
  </si>
  <si>
    <t>Turns Ratio Maximum</t>
  </si>
  <si>
    <t>Turns Ratio Minimum</t>
  </si>
  <si>
    <t>Selected Turns Ratio</t>
  </si>
  <si>
    <t>Lpri * Ipri</t>
  </si>
  <si>
    <t>Bulk Capacitor</t>
  </si>
  <si>
    <t>Full Load System Efficiency</t>
  </si>
  <si>
    <t>QReff</t>
  </si>
  <si>
    <t>Current Sense Resistors</t>
  </si>
  <si>
    <t>Maximum Voltage Ripple</t>
  </si>
  <si>
    <t>Vp-p</t>
  </si>
  <si>
    <t>Vcc</t>
  </si>
  <si>
    <t>IC Specifications</t>
  </si>
  <si>
    <t>VPS_In</t>
  </si>
  <si>
    <t>V</t>
  </si>
  <si>
    <t>VPSTimer2</t>
  </si>
  <si>
    <t>IPSTimer1</t>
  </si>
  <si>
    <t>IPSTimer2</t>
  </si>
  <si>
    <t>mA</t>
  </si>
  <si>
    <t>Rpsm, min</t>
  </si>
  <si>
    <t>ms</t>
  </si>
  <si>
    <t>Cpsm</t>
  </si>
  <si>
    <t>Rpsm</t>
  </si>
  <si>
    <t>Istart1x</t>
  </si>
  <si>
    <t>Istart2x</t>
  </si>
  <si>
    <t>Vcc(inhibit)</t>
  </si>
  <si>
    <t>Tlineremoval</t>
  </si>
  <si>
    <t>Maximum X Capacitor Voltage</t>
  </si>
  <si>
    <t>Vcc(off)</t>
  </si>
  <si>
    <t>Icc(discharge)</t>
  </si>
  <si>
    <t>Vcc Voltage</t>
  </si>
  <si>
    <t>X Cap Value</t>
  </si>
  <si>
    <t>nF</t>
  </si>
  <si>
    <t>Vcc Capacitor Value</t>
  </si>
  <si>
    <t>tdischarge Vcc</t>
  </si>
  <si>
    <t>tdischarge X cap</t>
  </si>
  <si>
    <t>Vaux Capacitor Value</t>
  </si>
  <si>
    <t>Total Discharge time</t>
  </si>
  <si>
    <t>Minimum Cbulk</t>
  </si>
  <si>
    <t>SR MOSFET Derating</t>
  </si>
  <si>
    <t>QR MOSFET Derating</t>
  </si>
  <si>
    <t>Apk</t>
  </si>
  <si>
    <r>
      <t>m</t>
    </r>
    <r>
      <rPr>
        <sz val="11"/>
        <color theme="1"/>
        <rFont val="Calibri"/>
        <family val="2"/>
      </rPr>
      <t>Ω</t>
    </r>
  </si>
  <si>
    <t>µH</t>
  </si>
  <si>
    <t>sq mm</t>
  </si>
  <si>
    <t>Bmax</t>
  </si>
  <si>
    <t>mT</t>
  </si>
  <si>
    <t>Np/Ns</t>
  </si>
  <si>
    <t>VQILIM1</t>
  </si>
  <si>
    <t>PFC Efficiency</t>
  </si>
  <si>
    <t>Adc</t>
  </si>
  <si>
    <t>µs</t>
  </si>
  <si>
    <t>Arms</t>
  </si>
  <si>
    <t>mΩ</t>
  </si>
  <si>
    <t>PFC Maximum On Time, ton1a</t>
  </si>
  <si>
    <t>PFC LL to HL Transition, Vlineselect</t>
  </si>
  <si>
    <t>PFC Maximum Ton, ton1b</t>
  </si>
  <si>
    <t>VPILIM1</t>
  </si>
  <si>
    <t>Vzcd Arming Threshold, VPZCD(rising)</t>
  </si>
  <si>
    <t>Number of Primary Turns</t>
  </si>
  <si>
    <r>
      <rPr>
        <sz val="11"/>
        <color theme="1"/>
        <rFont val="Calibri"/>
        <family val="2"/>
      </rPr>
      <t>µ</t>
    </r>
    <r>
      <rPr>
        <sz val="11"/>
        <color theme="1"/>
        <rFont val="Calibri"/>
        <family val="2"/>
        <scheme val="minor"/>
      </rPr>
      <t>A</t>
    </r>
  </si>
  <si>
    <r>
      <rPr>
        <sz val="11"/>
        <color theme="1"/>
        <rFont val="Calibri"/>
        <family val="2"/>
      </rPr>
      <t>µ</t>
    </r>
    <r>
      <rPr>
        <sz val="11"/>
        <color theme="1"/>
        <rFont val="Calibri"/>
        <family val="2"/>
        <scheme val="minor"/>
      </rPr>
      <t>F</t>
    </r>
  </si>
  <si>
    <t>Tstartup, max</t>
  </si>
  <si>
    <t>kΩ</t>
  </si>
  <si>
    <t>tPSM(in1)</t>
  </si>
  <si>
    <t>tPSM(in2)</t>
  </si>
  <si>
    <t>Maximum Inductor Demag Voltage</t>
  </si>
  <si>
    <t>Vpcs/zcd</t>
  </si>
  <si>
    <t>Ipcs/zcd</t>
  </si>
  <si>
    <r>
      <t>k</t>
    </r>
    <r>
      <rPr>
        <sz val="11"/>
        <color theme="1"/>
        <rFont val="Calibri"/>
        <family val="2"/>
      </rPr>
      <t>Ω</t>
    </r>
  </si>
  <si>
    <t>Suggested Rpzcd</t>
  </si>
  <si>
    <t>PFC Resistor Dividers</t>
  </si>
  <si>
    <t>VPREF(HL)</t>
  </si>
  <si>
    <t>Divider Current</t>
  </si>
  <si>
    <t>µA</t>
  </si>
  <si>
    <t>MΩ</t>
  </si>
  <si>
    <t>IQFB</t>
  </si>
  <si>
    <t>RQFB</t>
  </si>
  <si>
    <t>VDD</t>
  </si>
  <si>
    <t>Req</t>
  </si>
  <si>
    <t>Value</t>
  </si>
  <si>
    <t>Units</t>
  </si>
  <si>
    <t>µF</t>
  </si>
  <si>
    <t>Number Primary Turns</t>
  </si>
  <si>
    <t>Number AUX Turns</t>
  </si>
  <si>
    <t>XFMR Primary Inductance</t>
  </si>
  <si>
    <t>A</t>
  </si>
  <si>
    <t>Peak Primary Current</t>
  </si>
  <si>
    <t>Number Secondary Turns</t>
  </si>
  <si>
    <t>Total Output Power Capability @ LL</t>
  </si>
  <si>
    <t>Total Output Power Capability @HL</t>
  </si>
  <si>
    <t>Ton @ LL</t>
  </si>
  <si>
    <t>Ton @ HL</t>
  </si>
  <si>
    <t>Peak Primary Current to Achieve Peak Power</t>
  </si>
  <si>
    <t>Desired Peak Output Power @ HL</t>
  </si>
  <si>
    <t>Voltage at Current Sense Resistors</t>
  </si>
  <si>
    <t>Over Power Protection Voltage</t>
  </si>
  <si>
    <t>RQZCD</t>
  </si>
  <si>
    <t>ROPPL</t>
  </si>
  <si>
    <t>ROPPU</t>
  </si>
  <si>
    <t>VAUX (negative) @ HL</t>
  </si>
  <si>
    <t>Calculated Peak Output Power @ HL</t>
  </si>
  <si>
    <t>Number Aux Turns</t>
  </si>
  <si>
    <t>Full Load Efficiency</t>
  </si>
  <si>
    <t>Cds</t>
  </si>
  <si>
    <t>pF</t>
  </si>
  <si>
    <t>VQFB</t>
  </si>
  <si>
    <t>Ipk (A)</t>
  </si>
  <si>
    <t>Input Voltage</t>
  </si>
  <si>
    <t>fsw (kHz)</t>
  </si>
  <si>
    <t>VCO</t>
  </si>
  <si>
    <t>Cqct</t>
  </si>
  <si>
    <t>Ton (µs)</t>
  </si>
  <si>
    <t>Tdemag (µs)</t>
  </si>
  <si>
    <t>Tdt (µs)</t>
  </si>
  <si>
    <t>tsw (µs)</t>
  </si>
  <si>
    <t>Pdisable</t>
  </si>
  <si>
    <t>Estimated RPONOFF</t>
  </si>
  <si>
    <t>Power Decreasing</t>
  </si>
  <si>
    <t>Estimated CPONOFF</t>
  </si>
  <si>
    <t>Cell with comment:</t>
  </si>
  <si>
    <t>To read comment, place cursor on top of red mark in the upper right corner of the cell.</t>
  </si>
  <si>
    <t>Inputs:</t>
  </si>
  <si>
    <t>Input Cell:</t>
  </si>
  <si>
    <t>Result Cell:</t>
  </si>
  <si>
    <t>Note:</t>
  </si>
  <si>
    <t>This spreadsheet is provided for guidance purposes only. It is believed to be accurate. However, the user is responsible for verifying all suggested values provided by this tool.</t>
  </si>
  <si>
    <t xml:space="preserve">These sheets are protected against changes in most cells, except where inputs are allowed. This has been done to assure the integrity of this spread sheet. It can not be modified by the user. </t>
  </si>
  <si>
    <t>NCP1937 Design Tool Directions</t>
  </si>
  <si>
    <t>This spreadsheet calculates both system and component data for use with the NCP1937 in a CrM Boost PFC topology with a Quasi-Resonant flyback. Calculations are based on system specifications provided by the user.  This spreadsheet requires macros to be enabled to operate correctly.
Comments are available in multiple cells within this spreadsheet and look like shown below:</t>
  </si>
  <si>
    <t xml:space="preserve">All input fields have a yellow background. This tool will provide calculations for system parameters and suggested values for most external components to assist the user in their design.   Green cells provide calculation results and purple cells are for components. In some instances, the user has an option to override the suggested value. </t>
  </si>
  <si>
    <t>Component Value:</t>
  </si>
  <si>
    <t>Maximum Inductance1, LL</t>
  </si>
  <si>
    <t>Maximum Inductance2, LL</t>
  </si>
  <si>
    <t>Maximum Inductance3, HL</t>
  </si>
  <si>
    <t>Maximum Inductance4, HL</t>
  </si>
  <si>
    <t>Auxiliary Winding Turns Ratio</t>
  </si>
  <si>
    <t>Number of Auxiliary Turns</t>
  </si>
  <si>
    <t>Demagnetization time</t>
  </si>
  <si>
    <t>QFB Max</t>
  </si>
  <si>
    <t>Primary RMS Current @ Maximum Output Power</t>
  </si>
  <si>
    <t>Secondary RMS Current @ Maximum Ouput Power</t>
  </si>
  <si>
    <t>Maximum Output Current</t>
  </si>
  <si>
    <t>Low  Line Output Voltage</t>
  </si>
  <si>
    <t>Minimum Number of Primary Turns</t>
  </si>
  <si>
    <t>Suggested Number of Auxiliary Turns</t>
  </si>
  <si>
    <t>Maximum Aux Winding Voltage</t>
  </si>
  <si>
    <t>Suggested RPFBLV</t>
  </si>
  <si>
    <t>Chosen RPFBLV</t>
  </si>
  <si>
    <t>Suggested RPFBHV</t>
  </si>
  <si>
    <t>Number of primary turns</t>
  </si>
  <si>
    <t>Suggested Number of Secondary Turns</t>
  </si>
  <si>
    <t>Number of Secondary Turns</t>
  </si>
  <si>
    <t>Suggested Number of AUX Turns</t>
  </si>
  <si>
    <t>Number of AUX Turns</t>
  </si>
  <si>
    <t>Simplified PFC Schematic</t>
  </si>
  <si>
    <t>Suggested Current Sense Resistor Value</t>
  </si>
  <si>
    <t>QFB Pin Architecture</t>
  </si>
  <si>
    <t>Thevenin Equivalent Circuit</t>
  </si>
  <si>
    <t>Over Power Protection Architecture</t>
  </si>
</sst>
</file>

<file path=xl/styles.xml><?xml version="1.0" encoding="utf-8"?>
<styleSheet xmlns="http://schemas.openxmlformats.org/spreadsheetml/2006/main">
  <numFmts count="1">
    <numFmt numFmtId="164" formatCode="0.0"/>
  </numFmts>
  <fonts count="13">
    <font>
      <sz val="11"/>
      <color theme="1"/>
      <name val="Calibri"/>
      <family val="2"/>
      <scheme val="minor"/>
    </font>
    <font>
      <b/>
      <sz val="11"/>
      <color theme="1"/>
      <name val="Calibri"/>
      <family val="2"/>
      <scheme val="minor"/>
    </font>
    <font>
      <sz val="10"/>
      <name val="Arial"/>
      <family val="2"/>
    </font>
    <font>
      <sz val="11"/>
      <color theme="1"/>
      <name val="Calibri"/>
      <family val="2"/>
    </font>
    <font>
      <sz val="11"/>
      <color theme="1"/>
      <name val="Calibri"/>
      <family val="2"/>
      <scheme val="minor"/>
    </font>
    <font>
      <b/>
      <sz val="10"/>
      <name val="Arial"/>
      <family val="2"/>
    </font>
    <font>
      <sz val="10"/>
      <name val="Arial"/>
      <family val="2"/>
    </font>
    <font>
      <b/>
      <sz val="8"/>
      <color indexed="81"/>
      <name val="Tahoma"/>
      <family val="2"/>
    </font>
    <font>
      <sz val="9"/>
      <color indexed="81"/>
      <name val="Tahoma"/>
      <family val="2"/>
    </font>
    <font>
      <b/>
      <sz val="9"/>
      <color indexed="81"/>
      <name val="Tahoma"/>
      <family val="2"/>
    </font>
    <font>
      <sz val="9"/>
      <color indexed="81"/>
      <name val="Calibri"/>
      <family val="2"/>
    </font>
    <font>
      <b/>
      <sz val="16"/>
      <color theme="1"/>
      <name val="Calibri"/>
      <family val="2"/>
      <scheme val="minor"/>
    </font>
    <font>
      <sz val="18"/>
      <color theme="1"/>
      <name val="Calibri"/>
      <family val="2"/>
      <scheme val="minor"/>
    </font>
  </fonts>
  <fills count="5">
    <fill>
      <patternFill patternType="none"/>
    </fill>
    <fill>
      <patternFill patternType="gray125"/>
    </fill>
    <fill>
      <patternFill patternType="solid">
        <fgColor rgb="FFFFFFCC"/>
      </patternFill>
    </fill>
    <fill>
      <patternFill patternType="solid">
        <fgColor rgb="FF92D050"/>
        <bgColor indexed="64"/>
      </patternFill>
    </fill>
    <fill>
      <patternFill patternType="solid">
        <fgColor theme="7" tint="0.39997558519241921"/>
        <bgColor indexed="64"/>
      </patternFill>
    </fill>
  </fills>
  <borders count="10">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rgb="FFB2B2B2"/>
      </left>
      <right style="thin">
        <color rgb="FFB2B2B2"/>
      </right>
      <top style="thin">
        <color rgb="FFB2B2B2"/>
      </top>
      <bottom/>
      <diagonal/>
    </border>
  </borders>
  <cellStyleXfs count="3">
    <xf numFmtId="0" fontId="0" fillId="0" borderId="0"/>
    <xf numFmtId="0" fontId="2" fillId="0" borderId="0"/>
    <xf numFmtId="0" fontId="4" fillId="2" borderId="5" applyNumberFormat="0" applyFont="0" applyAlignment="0" applyProtection="0"/>
  </cellStyleXfs>
  <cellXfs count="90">
    <xf numFmtId="0" fontId="0" fillId="0" borderId="0" xfId="0"/>
    <xf numFmtId="11" fontId="0" fillId="0" borderId="0" xfId="0" applyNumberFormat="1"/>
    <xf numFmtId="0" fontId="0" fillId="0" borderId="0" xfId="0" applyBorder="1"/>
    <xf numFmtId="0" fontId="0" fillId="0" borderId="0" xfId="0" applyFill="1" applyAlignment="1">
      <alignment horizontal="left"/>
    </xf>
    <xf numFmtId="0" fontId="3" fillId="0" borderId="0" xfId="0" applyFont="1"/>
    <xf numFmtId="0" fontId="0" fillId="0" borderId="2" xfId="0" applyFill="1" applyBorder="1" applyAlignment="1">
      <alignment horizontal="left"/>
    </xf>
    <xf numFmtId="0" fontId="0" fillId="0" borderId="2" xfId="0" applyBorder="1"/>
    <xf numFmtId="1" fontId="0" fillId="3" borderId="2" xfId="0" applyNumberFormat="1" applyFill="1" applyBorder="1"/>
    <xf numFmtId="2" fontId="0" fillId="3" borderId="2" xfId="0" applyNumberFormat="1" applyFill="1" applyBorder="1"/>
    <xf numFmtId="0" fontId="0" fillId="0" borderId="2" xfId="0" applyBorder="1" applyAlignment="1">
      <alignment horizontal="center"/>
    </xf>
    <xf numFmtId="0" fontId="0" fillId="2" borderId="2" xfId="2" applyFont="1" applyBorder="1" applyProtection="1">
      <protection locked="0"/>
    </xf>
    <xf numFmtId="0" fontId="0" fillId="0" borderId="1" xfId="0" applyFill="1" applyBorder="1" applyAlignment="1">
      <alignment horizontal="left"/>
    </xf>
    <xf numFmtId="0" fontId="0" fillId="2" borderId="1" xfId="2" applyFont="1" applyBorder="1" applyProtection="1">
      <protection locked="0"/>
    </xf>
    <xf numFmtId="0" fontId="0" fillId="0" borderId="1" xfId="0" applyBorder="1" applyAlignment="1">
      <alignment horizont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4" xfId="0" applyFill="1" applyBorder="1" applyAlignment="1">
      <alignment horizontal="left"/>
    </xf>
    <xf numFmtId="0" fontId="0" fillId="0" borderId="4" xfId="0" applyBorder="1"/>
    <xf numFmtId="0" fontId="0" fillId="0" borderId="4" xfId="0" applyBorder="1" applyAlignment="1">
      <alignment horizontal="center"/>
    </xf>
    <xf numFmtId="0" fontId="0" fillId="0" borderId="7" xfId="0" applyBorder="1"/>
    <xf numFmtId="0" fontId="0" fillId="0" borderId="8" xfId="0" applyBorder="1" applyAlignment="1">
      <alignment horizontal="center"/>
    </xf>
    <xf numFmtId="2" fontId="0" fillId="2" borderId="5" xfId="2" applyNumberFormat="1" applyFont="1" applyProtection="1">
      <protection locked="0"/>
    </xf>
    <xf numFmtId="0" fontId="0" fillId="3" borderId="2" xfId="0" applyFill="1" applyBorder="1"/>
    <xf numFmtId="164" fontId="0" fillId="2" borderId="2" xfId="2" applyNumberFormat="1" applyFont="1" applyBorder="1" applyProtection="1">
      <protection locked="0"/>
    </xf>
    <xf numFmtId="0" fontId="3" fillId="0" borderId="2" xfId="0" applyFont="1" applyBorder="1" applyAlignment="1">
      <alignment horizontal="center"/>
    </xf>
    <xf numFmtId="2" fontId="0" fillId="2" borderId="2" xfId="2" applyNumberFormat="1" applyFont="1" applyBorder="1" applyProtection="1">
      <protection locked="0"/>
    </xf>
    <xf numFmtId="0" fontId="0" fillId="0" borderId="1" xfId="0" applyBorder="1"/>
    <xf numFmtId="1" fontId="0" fillId="3" borderId="1" xfId="0" applyNumberFormat="1" applyFill="1" applyBorder="1"/>
    <xf numFmtId="0" fontId="0" fillId="0" borderId="6" xfId="0" applyBorder="1"/>
    <xf numFmtId="0" fontId="3" fillId="0" borderId="1" xfId="0" applyFont="1" applyBorder="1" applyAlignment="1">
      <alignment horizontal="center"/>
    </xf>
    <xf numFmtId="0" fontId="0" fillId="3" borderId="2" xfId="2" applyFont="1" applyFill="1" applyBorder="1" applyProtection="1"/>
    <xf numFmtId="164" fontId="0" fillId="3" borderId="2" xfId="2" applyNumberFormat="1" applyFont="1" applyFill="1" applyBorder="1" applyProtection="1"/>
    <xf numFmtId="1" fontId="0" fillId="2" borderId="2" xfId="2" applyNumberFormat="1" applyFont="1" applyBorder="1" applyProtection="1">
      <protection locked="0"/>
    </xf>
    <xf numFmtId="1" fontId="0" fillId="2" borderId="1" xfId="2" applyNumberFormat="1" applyFont="1" applyBorder="1" applyProtection="1">
      <protection locked="0"/>
    </xf>
    <xf numFmtId="0" fontId="1" fillId="0" borderId="6" xfId="0" applyFont="1" applyFill="1" applyBorder="1" applyAlignment="1">
      <alignment horizontal="left"/>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xf numFmtId="0" fontId="1" fillId="0" borderId="8" xfId="0" applyFont="1" applyBorder="1" applyAlignment="1">
      <alignment horizontal="center"/>
    </xf>
    <xf numFmtId="0" fontId="0" fillId="0" borderId="3" xfId="0" applyBorder="1"/>
    <xf numFmtId="0" fontId="0" fillId="0" borderId="3" xfId="0" applyBorder="1" applyAlignment="1">
      <alignment horizontal="center"/>
    </xf>
    <xf numFmtId="0" fontId="0" fillId="2" borderId="3" xfId="2" applyFont="1" applyBorder="1" applyProtection="1">
      <protection locked="0"/>
    </xf>
    <xf numFmtId="0" fontId="0" fillId="4" borderId="2" xfId="0" applyFill="1" applyBorder="1"/>
    <xf numFmtId="2" fontId="0" fillId="0" borderId="0" xfId="0" applyNumberFormat="1" applyAlignment="1">
      <alignment horizontal="center"/>
    </xf>
    <xf numFmtId="2" fontId="3" fillId="0" borderId="0" xfId="0" applyNumberFormat="1" applyFont="1" applyAlignment="1">
      <alignment horizontal="center"/>
    </xf>
    <xf numFmtId="2" fontId="0" fillId="0" borderId="0" xfId="0" applyNumberFormat="1" applyAlignment="1"/>
    <xf numFmtId="2" fontId="0" fillId="0" borderId="0" xfId="0" applyNumberFormat="1" applyBorder="1" applyAlignment="1">
      <alignment horizontal="center"/>
    </xf>
    <xf numFmtId="2" fontId="3" fillId="0" borderId="0" xfId="0" applyNumberFormat="1" applyFont="1" applyBorder="1" applyAlignment="1">
      <alignment horizontal="center"/>
    </xf>
    <xf numFmtId="0" fontId="1" fillId="0" borderId="0" xfId="0" applyFont="1"/>
    <xf numFmtId="0" fontId="0" fillId="4" borderId="0" xfId="0" applyFill="1"/>
    <xf numFmtId="2" fontId="0" fillId="3" borderId="0" xfId="0" applyNumberFormat="1" applyFill="1" applyAlignment="1">
      <alignment horizontal="center"/>
    </xf>
    <xf numFmtId="2" fontId="0" fillId="2" borderId="5" xfId="2" applyNumberFormat="1" applyFont="1" applyAlignment="1" applyProtection="1">
      <alignment horizontal="center"/>
      <protection locked="0"/>
    </xf>
    <xf numFmtId="2" fontId="0" fillId="3" borderId="5" xfId="2" applyNumberFormat="1" applyFont="1" applyFill="1" applyAlignment="1">
      <alignment horizontal="center"/>
    </xf>
    <xf numFmtId="1" fontId="0" fillId="2" borderId="5" xfId="2" applyNumberFormat="1" applyFont="1" applyProtection="1">
      <protection locked="0"/>
    </xf>
    <xf numFmtId="164" fontId="0" fillId="3" borderId="0" xfId="0" applyNumberFormat="1" applyFont="1" applyFill="1" applyAlignment="1" applyProtection="1">
      <alignment horizontal="center"/>
    </xf>
    <xf numFmtId="1" fontId="0" fillId="3" borderId="5" xfId="2" applyNumberFormat="1" applyFont="1" applyFill="1" applyAlignment="1" applyProtection="1">
      <alignment horizontal="center"/>
    </xf>
    <xf numFmtId="0" fontId="0" fillId="0" borderId="0" xfId="0" applyFill="1"/>
    <xf numFmtId="164" fontId="0" fillId="2" borderId="5" xfId="2" applyNumberFormat="1" applyFont="1" applyAlignment="1" applyProtection="1">
      <alignment horizontal="center"/>
      <protection locked="0"/>
    </xf>
    <xf numFmtId="0" fontId="0" fillId="0" borderId="0" xfId="0" applyBorder="1" applyAlignment="1">
      <alignment vertical="top" wrapText="1"/>
    </xf>
    <xf numFmtId="0" fontId="6" fillId="0" borderId="0" xfId="0" applyFont="1" applyBorder="1" applyAlignment="1">
      <alignment vertical="top" wrapText="1"/>
    </xf>
    <xf numFmtId="0" fontId="5" fillId="0" borderId="0" xfId="0" applyFont="1" applyAlignment="1">
      <alignment horizontal="right"/>
    </xf>
    <xf numFmtId="0" fontId="6" fillId="0" borderId="2" xfId="0" applyFont="1" applyBorder="1" applyAlignment="1">
      <alignment vertical="top" wrapText="1"/>
    </xf>
    <xf numFmtId="0" fontId="6" fillId="0" borderId="0" xfId="0" applyFont="1" applyBorder="1" applyAlignment="1"/>
    <xf numFmtId="0" fontId="5" fillId="0" borderId="0" xfId="0" applyFont="1" applyBorder="1" applyAlignment="1"/>
    <xf numFmtId="0" fontId="6" fillId="0" borderId="0" xfId="0" applyFont="1" applyBorder="1" applyAlignment="1">
      <alignment horizontal="left" vertical="top" wrapText="1"/>
    </xf>
    <xf numFmtId="0" fontId="5" fillId="0" borderId="0" xfId="0" applyFont="1" applyBorder="1" applyAlignment="1">
      <alignment vertical="top" wrapText="1"/>
    </xf>
    <xf numFmtId="0" fontId="6" fillId="3" borderId="2" xfId="0" applyFont="1" applyFill="1" applyBorder="1" applyAlignment="1">
      <alignment vertical="top" wrapText="1"/>
    </xf>
    <xf numFmtId="0" fontId="5" fillId="0" borderId="0" xfId="0" applyFont="1" applyBorder="1" applyAlignment="1">
      <alignment horizontal="right" vertical="top"/>
    </xf>
    <xf numFmtId="0" fontId="6" fillId="2" borderId="2" xfId="2" applyFont="1" applyBorder="1" applyAlignment="1">
      <alignment vertical="top" wrapText="1"/>
    </xf>
    <xf numFmtId="0" fontId="0" fillId="0" borderId="2" xfId="0" applyFill="1" applyBorder="1"/>
    <xf numFmtId="0" fontId="0" fillId="0" borderId="3" xfId="0" applyFont="1" applyFill="1" applyBorder="1" applyAlignment="1">
      <alignment horizontal="left"/>
    </xf>
    <xf numFmtId="0" fontId="0" fillId="0" borderId="3" xfId="0" applyFont="1" applyBorder="1" applyAlignment="1">
      <alignment horizontal="center"/>
    </xf>
    <xf numFmtId="0" fontId="0" fillId="0" borderId="2" xfId="0" applyFont="1" applyFill="1" applyBorder="1" applyAlignment="1">
      <alignment horizontal="left"/>
    </xf>
    <xf numFmtId="0" fontId="0" fillId="0" borderId="2" xfId="0" applyFont="1" applyBorder="1" applyAlignment="1">
      <alignment horizontal="center"/>
    </xf>
    <xf numFmtId="0" fontId="0" fillId="3" borderId="1" xfId="2" applyFont="1" applyFill="1" applyBorder="1" applyProtection="1"/>
    <xf numFmtId="1" fontId="0" fillId="2" borderId="9" xfId="2" applyNumberFormat="1" applyFont="1" applyBorder="1" applyProtection="1">
      <protection locked="0"/>
    </xf>
    <xf numFmtId="0" fontId="0" fillId="0" borderId="2" xfId="0" applyFill="1" applyBorder="1" applyAlignment="1">
      <alignment horizontal="center"/>
    </xf>
    <xf numFmtId="0" fontId="0" fillId="2" borderId="5" xfId="2" applyFont="1" applyProtection="1">
      <protection locked="0"/>
    </xf>
    <xf numFmtId="1" fontId="0" fillId="3" borderId="2" xfId="2" applyNumberFormat="1" applyFont="1" applyFill="1" applyBorder="1" applyProtection="1">
      <protection hidden="1"/>
    </xf>
    <xf numFmtId="2" fontId="0" fillId="3" borderId="2" xfId="0" applyNumberFormat="1" applyFill="1" applyBorder="1" applyProtection="1">
      <protection hidden="1"/>
    </xf>
    <xf numFmtId="2" fontId="1" fillId="0" borderId="0" xfId="0" applyNumberFormat="1" applyFont="1" applyAlignment="1" applyProtection="1">
      <alignment horizontal="center"/>
      <protection locked="0"/>
    </xf>
    <xf numFmtId="2" fontId="0" fillId="0" borderId="0" xfId="0" applyNumberFormat="1" applyAlignment="1" applyProtection="1">
      <alignment horizontal="center"/>
      <protection locked="0"/>
    </xf>
    <xf numFmtId="2" fontId="0" fillId="0" borderId="0" xfId="0" applyNumberFormat="1" applyBorder="1" applyAlignment="1" applyProtection="1">
      <alignment horizontal="center"/>
      <protection locked="0"/>
    </xf>
    <xf numFmtId="2" fontId="0" fillId="0" borderId="0" xfId="0" applyNumberFormat="1" applyAlignment="1">
      <alignment horizontal="center"/>
    </xf>
    <xf numFmtId="0" fontId="5" fillId="0" borderId="0" xfId="0" applyFont="1" applyBorder="1" applyAlignment="1">
      <alignment horizontal="center"/>
    </xf>
    <xf numFmtId="0" fontId="6" fillId="0" borderId="0" xfId="0" applyFont="1" applyBorder="1" applyAlignment="1">
      <alignment horizontal="left" vertical="top" wrapText="1"/>
    </xf>
    <xf numFmtId="0" fontId="0" fillId="0" borderId="0" xfId="0" applyBorder="1" applyAlignment="1">
      <alignment horizontal="left" vertical="top" wrapText="1"/>
    </xf>
    <xf numFmtId="0" fontId="0" fillId="0" borderId="0" xfId="0" applyAlignment="1">
      <alignment horizontal="left" vertical="top" wrapText="1"/>
    </xf>
    <xf numFmtId="0" fontId="11" fillId="0" borderId="0" xfId="0" applyFont="1" applyAlignment="1">
      <alignment horizontal="center" vertical="center"/>
    </xf>
    <xf numFmtId="0" fontId="12" fillId="0" borderId="0" xfId="0" applyFont="1" applyAlignment="1">
      <alignment horizontal="center" vertical="center"/>
    </xf>
  </cellXfs>
  <cellStyles count="3">
    <cellStyle name="Normal" xfId="0" builtinId="0"/>
    <cellStyle name="Normal 2" xfId="1"/>
    <cellStyle name="Note" xfId="2" builtinId="1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7</xdr:row>
      <xdr:rowOff>47625</xdr:rowOff>
    </xdr:from>
    <xdr:to>
      <xdr:col>12</xdr:col>
      <xdr:colOff>571500</xdr:colOff>
      <xdr:row>23</xdr:row>
      <xdr:rowOff>142875</xdr:rowOff>
    </xdr:to>
    <xdr:pic>
      <xdr:nvPicPr>
        <xdr:cNvPr id="2" name="Picture 1"/>
        <xdr:cNvPicPr/>
      </xdr:nvPicPr>
      <xdr:blipFill>
        <a:blip xmlns:r="http://schemas.openxmlformats.org/officeDocument/2006/relationships" r:embed="rId1" cstate="print"/>
        <a:srcRect/>
        <a:stretch>
          <a:fillRect/>
        </a:stretch>
      </xdr:blipFill>
      <xdr:spPr bwMode="auto">
        <a:xfrm>
          <a:off x="4981575" y="1400175"/>
          <a:ext cx="4838700" cy="31623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28575</xdr:colOff>
      <xdr:row>4</xdr:row>
      <xdr:rowOff>19050</xdr:rowOff>
    </xdr:from>
    <xdr:to>
      <xdr:col>10</xdr:col>
      <xdr:colOff>466725</xdr:colOff>
      <xdr:row>18</xdr:row>
      <xdr:rowOff>160796</xdr:rowOff>
    </xdr:to>
    <xdr:pic>
      <xdr:nvPicPr>
        <xdr:cNvPr id="4105"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3219450" y="800100"/>
          <a:ext cx="4095750" cy="2808746"/>
        </a:xfrm>
        <a:prstGeom prst="rect">
          <a:avLst/>
        </a:prstGeom>
        <a:noFill/>
      </xdr:spPr>
    </xdr:pic>
    <xdr:clientData/>
  </xdr:twoCellAnchor>
  <xdr:twoCellAnchor editAs="oneCell">
    <xdr:from>
      <xdr:col>12</xdr:col>
      <xdr:colOff>19051</xdr:colOff>
      <xdr:row>4</xdr:row>
      <xdr:rowOff>19051</xdr:rowOff>
    </xdr:from>
    <xdr:to>
      <xdr:col>16</xdr:col>
      <xdr:colOff>367551</xdr:colOff>
      <xdr:row>18</xdr:row>
      <xdr:rowOff>171451</xdr:rowOff>
    </xdr:to>
    <xdr:pic>
      <xdr:nvPicPr>
        <xdr:cNvPr id="4107" name="Picture 11"/>
        <xdr:cNvPicPr>
          <a:picLocks noChangeAspect="1" noChangeArrowheads="1"/>
        </xdr:cNvPicPr>
      </xdr:nvPicPr>
      <xdr:blipFill>
        <a:blip xmlns:r="http://schemas.openxmlformats.org/officeDocument/2006/relationships" r:embed="rId2" cstate="print"/>
        <a:srcRect/>
        <a:stretch>
          <a:fillRect/>
        </a:stretch>
      </xdr:blipFill>
      <xdr:spPr bwMode="auto">
        <a:xfrm>
          <a:off x="8086726" y="800101"/>
          <a:ext cx="2786900" cy="281940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57150</xdr:colOff>
      <xdr:row>4</xdr:row>
      <xdr:rowOff>57150</xdr:rowOff>
    </xdr:from>
    <xdr:to>
      <xdr:col>13</xdr:col>
      <xdr:colOff>552449</xdr:colOff>
      <xdr:row>25</xdr:row>
      <xdr:rowOff>182209</xdr:rowOff>
    </xdr:to>
    <xdr:pic>
      <xdr:nvPicPr>
        <xdr:cNvPr id="8210" name="Picture 18"/>
        <xdr:cNvPicPr>
          <a:picLocks noChangeAspect="1" noChangeArrowheads="1"/>
        </xdr:cNvPicPr>
      </xdr:nvPicPr>
      <xdr:blipFill>
        <a:blip xmlns:r="http://schemas.openxmlformats.org/officeDocument/2006/relationships" r:embed="rId1" cstate="print"/>
        <a:srcRect/>
        <a:stretch>
          <a:fillRect/>
        </a:stretch>
      </xdr:blipFill>
      <xdr:spPr bwMode="auto">
        <a:xfrm>
          <a:off x="4781550" y="819150"/>
          <a:ext cx="5981699" cy="4125559"/>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8.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3.xml"/><Relationship Id="rId1" Type="http://schemas.openxmlformats.org/officeDocument/2006/relationships/printerSettings" Target="../printerSettings/printerSettings7.bin"/><Relationship Id="rId5" Type="http://schemas.openxmlformats.org/officeDocument/2006/relationships/comments" Target="../comments8.xml"/><Relationship Id="rId4" Type="http://schemas.openxmlformats.org/officeDocument/2006/relationships/control" Target="../activeX/activeX1.xml"/></Relationships>
</file>

<file path=xl/worksheets/_rels/sheet10.xml.rels><?xml version="1.0" encoding="UTF-8" standalone="yes"?>
<Relationships xmlns="http://schemas.openxmlformats.org/package/2006/relationships"><Relationship Id="rId3" Type="http://schemas.openxmlformats.org/officeDocument/2006/relationships/control" Target="../activeX/activeX2.xml"/><Relationship Id="rId2" Type="http://schemas.openxmlformats.org/officeDocument/2006/relationships/vmlDrawing" Target="../drawings/vmlDrawing9.vml"/><Relationship Id="rId1" Type="http://schemas.openxmlformats.org/officeDocument/2006/relationships/printerSettings" Target="../printerSettings/printerSettings8.bin"/><Relationship Id="rId4" Type="http://schemas.openxmlformats.org/officeDocument/2006/relationships/comments" Target="../comments9.xml"/></Relationships>
</file>

<file path=xl/worksheets/sheet1.xml><?xml version="1.0" encoding="utf-8"?>
<worksheet xmlns="http://schemas.openxmlformats.org/spreadsheetml/2006/main" xmlns:r="http://schemas.openxmlformats.org/officeDocument/2006/relationships">
  <sheetPr codeName="Sheet1"/>
  <dimension ref="A1:J26"/>
  <sheetViews>
    <sheetView tabSelected="1" workbookViewId="0">
      <selection activeCell="K26" sqref="K26"/>
    </sheetView>
  </sheetViews>
  <sheetFormatPr defaultRowHeight="15"/>
  <sheetData>
    <row r="1" spans="1:10">
      <c r="A1" s="84" t="s">
        <v>183</v>
      </c>
      <c r="B1" s="84"/>
      <c r="C1" s="84"/>
      <c r="D1" s="84"/>
      <c r="E1" s="84"/>
      <c r="F1" s="84"/>
      <c r="G1" s="84"/>
      <c r="H1" s="84"/>
      <c r="I1" s="84"/>
      <c r="J1" s="84"/>
    </row>
    <row r="3" spans="1:10">
      <c r="A3" s="85" t="s">
        <v>184</v>
      </c>
      <c r="B3" s="86"/>
      <c r="C3" s="86"/>
      <c r="D3" s="86"/>
      <c r="E3" s="86"/>
      <c r="F3" s="86"/>
      <c r="G3" s="86"/>
      <c r="H3" s="86"/>
      <c r="I3" s="86"/>
      <c r="J3" s="86"/>
    </row>
    <row r="4" spans="1:10">
      <c r="A4" s="86"/>
      <c r="B4" s="86"/>
      <c r="C4" s="86"/>
      <c r="D4" s="86"/>
      <c r="E4" s="86"/>
      <c r="F4" s="86"/>
      <c r="G4" s="86"/>
      <c r="H4" s="86"/>
      <c r="I4" s="86"/>
      <c r="J4" s="86"/>
    </row>
    <row r="5" spans="1:10">
      <c r="A5" s="86"/>
      <c r="B5" s="86"/>
      <c r="C5" s="86"/>
      <c r="D5" s="86"/>
      <c r="E5" s="86"/>
      <c r="F5" s="86"/>
      <c r="G5" s="86"/>
      <c r="H5" s="86"/>
      <c r="I5" s="86"/>
      <c r="J5" s="86"/>
    </row>
    <row r="6" spans="1:10">
      <c r="A6" s="86"/>
      <c r="B6" s="86"/>
      <c r="C6" s="86"/>
      <c r="D6" s="86"/>
      <c r="E6" s="86"/>
      <c r="F6" s="86"/>
      <c r="G6" s="86"/>
      <c r="H6" s="86"/>
      <c r="I6" s="86"/>
      <c r="J6" s="86"/>
    </row>
    <row r="7" spans="1:10">
      <c r="A7" s="86"/>
      <c r="B7" s="86"/>
      <c r="C7" s="86"/>
      <c r="D7" s="86"/>
      <c r="E7" s="86"/>
      <c r="F7" s="86"/>
      <c r="G7" s="86"/>
      <c r="H7" s="86"/>
      <c r="I7" s="86"/>
      <c r="J7" s="86"/>
    </row>
    <row r="8" spans="1:10">
      <c r="A8" s="58"/>
      <c r="B8" s="58"/>
      <c r="C8" s="58"/>
      <c r="D8" s="58"/>
      <c r="E8" s="58"/>
      <c r="F8" s="58"/>
      <c r="G8" s="58"/>
      <c r="H8" s="58"/>
      <c r="I8" s="58"/>
      <c r="J8" s="58"/>
    </row>
    <row r="9" spans="1:10">
      <c r="B9" s="59"/>
      <c r="C9" s="60" t="s">
        <v>175</v>
      </c>
      <c r="D9" s="61"/>
      <c r="F9" s="59"/>
      <c r="G9" s="59"/>
      <c r="H9" s="59"/>
      <c r="I9" s="59"/>
    </row>
    <row r="10" spans="1:10">
      <c r="A10" s="59"/>
      <c r="B10" s="59"/>
      <c r="C10" s="59"/>
      <c r="D10" s="59"/>
      <c r="E10" s="59"/>
      <c r="F10" s="59"/>
      <c r="G10" s="59"/>
      <c r="H10" s="59"/>
      <c r="I10" s="59"/>
    </row>
    <row r="11" spans="1:10">
      <c r="A11" s="85" t="s">
        <v>176</v>
      </c>
      <c r="B11" s="85"/>
      <c r="C11" s="85"/>
      <c r="D11" s="85"/>
      <c r="E11" s="85"/>
      <c r="F11" s="85"/>
      <c r="G11" s="85"/>
      <c r="H11" s="85"/>
      <c r="I11" s="85"/>
      <c r="J11" s="85"/>
    </row>
    <row r="12" spans="1:10">
      <c r="A12" s="62"/>
    </row>
    <row r="13" spans="1:10">
      <c r="A13" s="63" t="s">
        <v>177</v>
      </c>
    </row>
    <row r="14" spans="1:10">
      <c r="A14" s="85" t="s">
        <v>185</v>
      </c>
      <c r="B14" s="85"/>
      <c r="C14" s="85"/>
      <c r="D14" s="85"/>
      <c r="E14" s="85"/>
      <c r="F14" s="85"/>
      <c r="G14" s="85"/>
      <c r="H14" s="85"/>
      <c r="I14" s="85"/>
      <c r="J14" s="85"/>
    </row>
    <row r="15" spans="1:10">
      <c r="A15" s="85"/>
      <c r="B15" s="85"/>
      <c r="C15" s="85"/>
      <c r="D15" s="85"/>
      <c r="E15" s="85"/>
      <c r="F15" s="85"/>
      <c r="G15" s="85"/>
      <c r="H15" s="85"/>
      <c r="I15" s="85"/>
      <c r="J15" s="85"/>
    </row>
    <row r="16" spans="1:10">
      <c r="A16" s="85"/>
      <c r="B16" s="85"/>
      <c r="C16" s="85"/>
      <c r="D16" s="85"/>
      <c r="E16" s="85"/>
      <c r="F16" s="85"/>
      <c r="G16" s="85"/>
      <c r="H16" s="85"/>
      <c r="I16" s="85"/>
      <c r="J16" s="85"/>
    </row>
    <row r="17" spans="1:10">
      <c r="A17" s="87"/>
      <c r="B17" s="87"/>
      <c r="C17" s="87"/>
      <c r="D17" s="87"/>
      <c r="E17" s="87"/>
      <c r="F17" s="87"/>
      <c r="G17" s="87"/>
      <c r="H17" s="87"/>
      <c r="I17" s="87"/>
      <c r="J17" s="87"/>
    </row>
    <row r="18" spans="1:10">
      <c r="A18" s="64"/>
      <c r="B18" s="64"/>
      <c r="C18" s="64"/>
      <c r="D18" s="64"/>
      <c r="E18" s="64"/>
      <c r="F18" s="64"/>
      <c r="G18" s="64"/>
      <c r="H18" s="64"/>
      <c r="I18" s="64"/>
    </row>
    <row r="19" spans="1:10">
      <c r="A19" s="59"/>
      <c r="B19" s="60" t="s">
        <v>178</v>
      </c>
      <c r="C19" s="68"/>
      <c r="E19" s="60" t="s">
        <v>179</v>
      </c>
      <c r="F19" s="66"/>
      <c r="I19" s="67" t="s">
        <v>186</v>
      </c>
      <c r="J19" s="42"/>
    </row>
    <row r="20" spans="1:10">
      <c r="A20" s="59"/>
      <c r="E20" s="59"/>
      <c r="F20" s="59"/>
      <c r="G20" s="59"/>
      <c r="H20" s="59"/>
      <c r="I20" s="59"/>
    </row>
    <row r="21" spans="1:10">
      <c r="A21" s="65" t="s">
        <v>180</v>
      </c>
      <c r="B21" s="59"/>
      <c r="C21" s="59"/>
      <c r="D21" s="59"/>
      <c r="E21" s="59"/>
      <c r="F21" s="59"/>
      <c r="G21" s="59"/>
      <c r="H21" s="59"/>
      <c r="I21" s="59"/>
    </row>
    <row r="22" spans="1:10">
      <c r="A22" s="85" t="s">
        <v>181</v>
      </c>
      <c r="B22" s="85"/>
      <c r="C22" s="85"/>
      <c r="D22" s="85"/>
      <c r="E22" s="85"/>
      <c r="F22" s="85"/>
      <c r="G22" s="85"/>
      <c r="H22" s="85"/>
      <c r="I22" s="85"/>
      <c r="J22" s="85"/>
    </row>
    <row r="23" spans="1:10">
      <c r="A23" s="85"/>
      <c r="B23" s="85"/>
      <c r="C23" s="85"/>
      <c r="D23" s="85"/>
      <c r="E23" s="85"/>
      <c r="F23" s="85"/>
      <c r="G23" s="85"/>
      <c r="H23" s="85"/>
      <c r="I23" s="85"/>
      <c r="J23" s="85"/>
    </row>
    <row r="24" spans="1:10">
      <c r="A24" s="59"/>
      <c r="B24" s="59"/>
      <c r="C24" s="59"/>
      <c r="D24" s="59"/>
      <c r="E24" s="59"/>
      <c r="F24" s="59"/>
      <c r="G24" s="59"/>
      <c r="H24" s="59"/>
      <c r="I24" s="59"/>
    </row>
    <row r="25" spans="1:10">
      <c r="A25" s="85" t="s">
        <v>182</v>
      </c>
      <c r="B25" s="85"/>
      <c r="C25" s="85"/>
      <c r="D25" s="85"/>
      <c r="E25" s="85"/>
      <c r="F25" s="85"/>
      <c r="G25" s="85"/>
      <c r="H25" s="85"/>
      <c r="I25" s="85"/>
      <c r="J25" s="85"/>
    </row>
    <row r="26" spans="1:10">
      <c r="A26" s="85"/>
      <c r="B26" s="85"/>
      <c r="C26" s="85"/>
      <c r="D26" s="85"/>
      <c r="E26" s="85"/>
      <c r="F26" s="85"/>
      <c r="G26" s="85"/>
      <c r="H26" s="85"/>
      <c r="I26" s="85"/>
      <c r="J26" s="85"/>
    </row>
  </sheetData>
  <sheetProtection password="DAB8" sheet="1" objects="1" scenarios="1" selectLockedCells="1"/>
  <mergeCells count="6">
    <mergeCell ref="A1:J1"/>
    <mergeCell ref="A3:J7"/>
    <mergeCell ref="A11:J11"/>
    <mergeCell ref="A22:J23"/>
    <mergeCell ref="A25:J26"/>
    <mergeCell ref="A14:J17"/>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sheetPr codeName="Sheet3"/>
  <dimension ref="A1:C28"/>
  <sheetViews>
    <sheetView workbookViewId="0">
      <selection activeCell="B23" sqref="B23"/>
    </sheetView>
  </sheetViews>
  <sheetFormatPr defaultRowHeight="15"/>
  <cols>
    <col min="1" max="1" width="29.85546875" style="3" customWidth="1"/>
  </cols>
  <sheetData>
    <row r="1" spans="1:3">
      <c r="A1" s="3" t="s">
        <v>35</v>
      </c>
    </row>
    <row r="2" spans="1:3" ht="15.75" thickBot="1"/>
    <row r="3" spans="1:3" ht="15.75" thickBot="1">
      <c r="A3" s="34" t="s">
        <v>34</v>
      </c>
      <c r="B3" s="35" t="s">
        <v>135</v>
      </c>
      <c r="C3" s="36" t="s">
        <v>136</v>
      </c>
    </row>
    <row r="4" spans="1:3">
      <c r="A4" s="11" t="s">
        <v>32</v>
      </c>
      <c r="B4" s="12">
        <v>90</v>
      </c>
      <c r="C4" s="13" t="s">
        <v>29</v>
      </c>
    </row>
    <row r="5" spans="1:3">
      <c r="A5" s="5" t="s">
        <v>30</v>
      </c>
      <c r="B5" s="10">
        <v>265</v>
      </c>
      <c r="C5" s="9" t="s">
        <v>29</v>
      </c>
    </row>
    <row r="6" spans="1:3">
      <c r="A6" s="5" t="s">
        <v>27</v>
      </c>
      <c r="B6" s="10">
        <v>47</v>
      </c>
      <c r="C6" s="9" t="s">
        <v>25</v>
      </c>
    </row>
    <row r="7" spans="1:3">
      <c r="A7" s="5" t="s">
        <v>26</v>
      </c>
      <c r="B7" s="10">
        <v>63</v>
      </c>
      <c r="C7" s="9" t="s">
        <v>25</v>
      </c>
    </row>
    <row r="8" spans="1:3" ht="15.75" thickBot="1">
      <c r="A8" s="16"/>
      <c r="B8" s="17"/>
      <c r="C8" s="18"/>
    </row>
    <row r="9" spans="1:3" ht="15.75" thickBot="1">
      <c r="A9" s="34" t="s">
        <v>36</v>
      </c>
      <c r="B9" s="37"/>
      <c r="C9" s="38"/>
    </row>
    <row r="10" spans="1:3">
      <c r="A10" s="70" t="s">
        <v>0</v>
      </c>
      <c r="B10" s="41">
        <v>20</v>
      </c>
      <c r="C10" s="71" t="s">
        <v>69</v>
      </c>
    </row>
    <row r="11" spans="1:3">
      <c r="A11" s="72" t="s">
        <v>197</v>
      </c>
      <c r="B11" s="10">
        <v>4.25</v>
      </c>
      <c r="C11" s="73" t="s">
        <v>141</v>
      </c>
    </row>
    <row r="12" spans="1:3">
      <c r="A12" s="11" t="s">
        <v>22</v>
      </c>
      <c r="B12" s="74">
        <f>B10*B11</f>
        <v>85</v>
      </c>
      <c r="C12" s="13" t="s">
        <v>21</v>
      </c>
    </row>
    <row r="13" spans="1:3">
      <c r="A13" s="5" t="s">
        <v>61</v>
      </c>
      <c r="B13" s="10">
        <v>88</v>
      </c>
      <c r="C13" s="9" t="s">
        <v>17</v>
      </c>
    </row>
    <row r="14" spans="1:3" ht="15.75" thickBot="1">
      <c r="A14" s="16"/>
      <c r="B14" s="17"/>
      <c r="C14" s="18"/>
    </row>
    <row r="15" spans="1:3" ht="15.75" thickBot="1">
      <c r="A15" s="34" t="s">
        <v>23</v>
      </c>
      <c r="B15" s="37"/>
      <c r="C15" s="38"/>
    </row>
    <row r="16" spans="1:3">
      <c r="A16" s="11" t="s">
        <v>37</v>
      </c>
      <c r="B16" s="12">
        <v>400</v>
      </c>
      <c r="C16" s="13" t="s">
        <v>16</v>
      </c>
    </row>
    <row r="17" spans="1:3">
      <c r="A17" s="5" t="s">
        <v>198</v>
      </c>
      <c r="B17" s="30">
        <f>PFCVoHL*2.5/4</f>
        <v>250</v>
      </c>
      <c r="C17" s="9" t="s">
        <v>16</v>
      </c>
    </row>
    <row r="18" spans="1:3">
      <c r="A18" s="5" t="s">
        <v>38</v>
      </c>
      <c r="B18" s="7">
        <f>B12/B13*100</f>
        <v>96.590909090909093</v>
      </c>
      <c r="C18" s="9" t="s">
        <v>21</v>
      </c>
    </row>
    <row r="19" spans="1:3">
      <c r="A19" s="5" t="s">
        <v>20</v>
      </c>
      <c r="B19" s="10">
        <v>45</v>
      </c>
      <c r="C19" s="9" t="s">
        <v>19</v>
      </c>
    </row>
    <row r="20" spans="1:3">
      <c r="A20" s="5" t="s">
        <v>104</v>
      </c>
      <c r="B20" s="10">
        <v>95</v>
      </c>
      <c r="C20" s="9" t="s">
        <v>17</v>
      </c>
    </row>
    <row r="21" spans="1:3" ht="15.75" thickBot="1">
      <c r="A21" s="16"/>
      <c r="B21" s="17"/>
      <c r="C21" s="18"/>
    </row>
    <row r="22" spans="1:3" ht="15.75" thickBot="1">
      <c r="A22" s="34" t="s">
        <v>33</v>
      </c>
      <c r="B22" s="37"/>
      <c r="C22" s="38"/>
    </row>
    <row r="23" spans="1:3">
      <c r="A23" s="11" t="s">
        <v>32</v>
      </c>
      <c r="B23" s="12">
        <v>90</v>
      </c>
      <c r="C23" s="13" t="s">
        <v>16</v>
      </c>
    </row>
    <row r="24" spans="1:3">
      <c r="A24" s="5" t="s">
        <v>30</v>
      </c>
      <c r="B24" s="10">
        <v>400</v>
      </c>
      <c r="C24" s="9" t="s">
        <v>16</v>
      </c>
    </row>
    <row r="25" spans="1:3">
      <c r="A25" s="5" t="s">
        <v>31</v>
      </c>
      <c r="B25" s="30">
        <f>B10</f>
        <v>20</v>
      </c>
      <c r="C25" s="9" t="s">
        <v>16</v>
      </c>
    </row>
    <row r="26" spans="1:3">
      <c r="A26" s="5" t="s">
        <v>28</v>
      </c>
      <c r="B26" s="30">
        <f>B11</f>
        <v>4.25</v>
      </c>
      <c r="C26" s="9" t="s">
        <v>105</v>
      </c>
    </row>
    <row r="27" spans="1:3">
      <c r="A27" s="5" t="s">
        <v>20</v>
      </c>
      <c r="B27" s="10">
        <v>25</v>
      </c>
      <c r="C27" s="9" t="s">
        <v>19</v>
      </c>
    </row>
    <row r="28" spans="1:3">
      <c r="A28" s="5" t="s">
        <v>62</v>
      </c>
      <c r="B28" s="8">
        <f>(Effmin/PFCeff)*100</f>
        <v>92.631578947368425</v>
      </c>
      <c r="C28" s="9" t="s">
        <v>17</v>
      </c>
    </row>
  </sheetData>
  <sheetProtection password="DAB8" sheet="1" objects="1" scenarios="1" selectLockedCells="1"/>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sheetPr codeName="Sheet4"/>
  <dimension ref="A3:M59"/>
  <sheetViews>
    <sheetView workbookViewId="0">
      <selection activeCell="B33" sqref="B33"/>
    </sheetView>
  </sheetViews>
  <sheetFormatPr defaultRowHeight="15"/>
  <cols>
    <col min="1" max="1" width="35.28515625" bestFit="1" customWidth="1"/>
    <col min="2" max="2" width="12" bestFit="1" customWidth="1"/>
  </cols>
  <sheetData>
    <row r="3" spans="1:13" ht="15.75" thickBot="1"/>
    <row r="4" spans="1:13" ht="15.75" thickBot="1">
      <c r="A4" s="28" t="s">
        <v>41</v>
      </c>
      <c r="B4" s="14" t="s">
        <v>135</v>
      </c>
      <c r="C4" s="15" t="s">
        <v>136</v>
      </c>
    </row>
    <row r="5" spans="1:13">
      <c r="A5" s="26" t="s">
        <v>38</v>
      </c>
      <c r="B5" s="27">
        <f>Pinmax</f>
        <v>96.590909090909093</v>
      </c>
      <c r="C5" s="13" t="s">
        <v>21</v>
      </c>
    </row>
    <row r="6" spans="1:13">
      <c r="A6" s="6" t="s">
        <v>32</v>
      </c>
      <c r="B6" s="22">
        <f>Vacmin</f>
        <v>90</v>
      </c>
      <c r="C6" s="9" t="s">
        <v>29</v>
      </c>
      <c r="F6" s="88" t="s">
        <v>210</v>
      </c>
      <c r="G6" s="88"/>
      <c r="H6" s="88"/>
      <c r="I6" s="88"/>
      <c r="J6" s="88"/>
      <c r="K6" s="88"/>
      <c r="L6" s="88"/>
      <c r="M6" s="88"/>
    </row>
    <row r="7" spans="1:13">
      <c r="A7" s="6" t="s">
        <v>39</v>
      </c>
      <c r="B7" s="8">
        <f>B5/B6</f>
        <v>1.0732323232323233</v>
      </c>
      <c r="C7" s="9" t="s">
        <v>107</v>
      </c>
      <c r="F7" s="88"/>
      <c r="G7" s="88"/>
      <c r="H7" s="88"/>
      <c r="I7" s="88"/>
      <c r="J7" s="88"/>
      <c r="K7" s="88"/>
      <c r="L7" s="88"/>
      <c r="M7" s="88"/>
    </row>
    <row r="8" spans="1:13">
      <c r="A8" s="6" t="s">
        <v>40</v>
      </c>
      <c r="B8" s="8">
        <f>2*SQRT(2)*B7</f>
        <v>3.0355594141846742</v>
      </c>
      <c r="C8" s="9" t="s">
        <v>96</v>
      </c>
    </row>
    <row r="9" spans="1:13">
      <c r="A9" s="6" t="s">
        <v>109</v>
      </c>
      <c r="B9" s="23">
        <v>12.5</v>
      </c>
      <c r="C9" s="24" t="s">
        <v>106</v>
      </c>
    </row>
    <row r="10" spans="1:13">
      <c r="A10" s="6" t="s">
        <v>187</v>
      </c>
      <c r="B10" s="7">
        <f>(1/(PFCfswmin*1000*B8)/((1/(Vacmin*SQRT(2)))+(1/(PFCVoLL-Vacmin*SQRT(2)))))*1000000</f>
        <v>457.38756364256835</v>
      </c>
      <c r="C10" s="24" t="s">
        <v>98</v>
      </c>
    </row>
    <row r="11" spans="1:13">
      <c r="A11" s="6" t="s">
        <v>188</v>
      </c>
      <c r="B11" s="7">
        <f>Vacmin*SQRT(2)*B9/B8</f>
        <v>524.11764705882342</v>
      </c>
      <c r="C11" s="24" t="s">
        <v>98</v>
      </c>
    </row>
    <row r="12" spans="1:13" ht="15.75" thickBot="1">
      <c r="A12" s="17"/>
      <c r="B12" s="17"/>
      <c r="C12" s="18"/>
    </row>
    <row r="13" spans="1:13" ht="15.75" thickBot="1">
      <c r="A13" s="28" t="s">
        <v>42</v>
      </c>
      <c r="B13" s="19"/>
      <c r="C13" s="20"/>
    </row>
    <row r="14" spans="1:13">
      <c r="A14" s="26" t="s">
        <v>110</v>
      </c>
      <c r="B14" s="12">
        <v>240</v>
      </c>
      <c r="C14" s="13" t="s">
        <v>16</v>
      </c>
    </row>
    <row r="15" spans="1:13">
      <c r="A15" s="6" t="s">
        <v>43</v>
      </c>
      <c r="B15" s="22">
        <f>Vacmax</f>
        <v>265</v>
      </c>
      <c r="C15" s="9" t="s">
        <v>29</v>
      </c>
    </row>
    <row r="16" spans="1:13">
      <c r="A16" s="6" t="s">
        <v>39</v>
      </c>
      <c r="B16" s="8">
        <f>B5/B15</f>
        <v>0.36449399656946829</v>
      </c>
      <c r="C16" s="9" t="s">
        <v>107</v>
      </c>
    </row>
    <row r="17" spans="1:3">
      <c r="A17" s="6" t="s">
        <v>40</v>
      </c>
      <c r="B17" s="8">
        <f>2*SQRT(2)*B16</f>
        <v>1.030944706704229</v>
      </c>
      <c r="C17" s="9" t="s">
        <v>96</v>
      </c>
    </row>
    <row r="18" spans="1:3">
      <c r="A18" s="6" t="s">
        <v>111</v>
      </c>
      <c r="B18" s="10">
        <v>4.25</v>
      </c>
      <c r="C18" s="24" t="s">
        <v>106</v>
      </c>
    </row>
    <row r="19" spans="1:3">
      <c r="A19" s="6" t="s">
        <v>189</v>
      </c>
      <c r="B19" s="7">
        <f>(1/(PFCfswmin*1000*B17)/((1/(Vacmax*SQRT(2)))+(1/(PFCVoHL-Vacmax*SQRT(2)))))*1000000</f>
        <v>509.59935366139837</v>
      </c>
      <c r="C19" s="24" t="s">
        <v>98</v>
      </c>
    </row>
    <row r="20" spans="1:3">
      <c r="A20" s="6" t="s">
        <v>190</v>
      </c>
      <c r="B20" s="7">
        <f>B18*B14/B17</f>
        <v>989.38380823621708</v>
      </c>
      <c r="C20" s="24" t="s">
        <v>98</v>
      </c>
    </row>
    <row r="21" spans="1:3">
      <c r="A21" s="6"/>
      <c r="B21" s="6"/>
      <c r="C21" s="9"/>
    </row>
    <row r="22" spans="1:3">
      <c r="A22" s="6" t="s">
        <v>44</v>
      </c>
      <c r="B22" s="10">
        <v>12</v>
      </c>
      <c r="C22" s="9" t="s">
        <v>17</v>
      </c>
    </row>
    <row r="23" spans="1:3">
      <c r="A23" s="42" t="s">
        <v>45</v>
      </c>
      <c r="B23" s="7">
        <f>MIN(B10:B11,B19:B20)*(1-B22/100)</f>
        <v>402.50105600546016</v>
      </c>
      <c r="C23" s="24" t="s">
        <v>98</v>
      </c>
    </row>
    <row r="24" spans="1:3">
      <c r="A24" s="6" t="s">
        <v>112</v>
      </c>
      <c r="B24" s="25">
        <v>0.45</v>
      </c>
      <c r="C24" s="24" t="s">
        <v>16</v>
      </c>
    </row>
    <row r="25" spans="1:3">
      <c r="A25" s="42" t="s">
        <v>46</v>
      </c>
      <c r="B25" s="7">
        <f>(0.45/B8)*1000</f>
        <v>148.24285694993264</v>
      </c>
      <c r="C25" s="24" t="s">
        <v>108</v>
      </c>
    </row>
    <row r="26" spans="1:3" ht="15.75" thickBot="1">
      <c r="A26" s="17"/>
      <c r="B26" s="17"/>
      <c r="C26" s="18"/>
    </row>
    <row r="27" spans="1:3" ht="15.75" thickBot="1">
      <c r="A27" s="28" t="s">
        <v>49</v>
      </c>
      <c r="B27" s="19"/>
      <c r="C27" s="20"/>
    </row>
    <row r="28" spans="1:3">
      <c r="A28" s="26" t="s">
        <v>50</v>
      </c>
      <c r="B28" s="75">
        <v>390</v>
      </c>
      <c r="C28" s="29" t="s">
        <v>98</v>
      </c>
    </row>
    <row r="29" spans="1:3">
      <c r="A29" s="6" t="s">
        <v>51</v>
      </c>
      <c r="B29" s="25">
        <v>3.04</v>
      </c>
      <c r="C29" s="9" t="s">
        <v>96</v>
      </c>
    </row>
    <row r="30" spans="1:3">
      <c r="A30" s="6" t="s">
        <v>52</v>
      </c>
      <c r="B30" s="10">
        <v>90</v>
      </c>
      <c r="C30" s="9" t="s">
        <v>99</v>
      </c>
    </row>
    <row r="31" spans="1:3">
      <c r="A31" s="6" t="s">
        <v>100</v>
      </c>
      <c r="B31" s="10">
        <v>275</v>
      </c>
      <c r="C31" s="9" t="s">
        <v>101</v>
      </c>
    </row>
    <row r="32" spans="1:3">
      <c r="A32" s="42" t="s">
        <v>199</v>
      </c>
      <c r="B32" s="7">
        <f>B28*B29*1000/B31/B30</f>
        <v>47.903030303030299</v>
      </c>
      <c r="C32" s="9" t="s">
        <v>7</v>
      </c>
    </row>
    <row r="33" spans="1:3">
      <c r="A33" s="17" t="s">
        <v>114</v>
      </c>
      <c r="B33" s="53">
        <v>50</v>
      </c>
      <c r="C33" s="18" t="s">
        <v>7</v>
      </c>
    </row>
    <row r="34" spans="1:3" ht="15.75" thickBot="1">
      <c r="A34" s="17"/>
      <c r="B34" s="17"/>
      <c r="C34" s="18"/>
    </row>
    <row r="35" spans="1:3" ht="15.75" thickBot="1">
      <c r="A35" s="28" t="s">
        <v>191</v>
      </c>
      <c r="B35" s="19"/>
      <c r="C35" s="20"/>
    </row>
    <row r="36" spans="1:3">
      <c r="A36" s="26" t="s">
        <v>113</v>
      </c>
      <c r="B36" s="74">
        <v>0.75</v>
      </c>
      <c r="C36" s="13" t="s">
        <v>16</v>
      </c>
    </row>
    <row r="37" spans="1:3">
      <c r="A37" s="6" t="s">
        <v>48</v>
      </c>
      <c r="B37" s="8">
        <f>PFCVoHL-Vacmax*SQRT(2)</f>
        <v>25.233405971129798</v>
      </c>
      <c r="C37" s="9" t="s">
        <v>16</v>
      </c>
    </row>
    <row r="38" spans="1:3">
      <c r="A38" s="6" t="s">
        <v>18</v>
      </c>
      <c r="B38" s="8">
        <f>B37/(B36*2+0.6)</f>
        <v>12.015907605299903</v>
      </c>
      <c r="C38" s="9" t="s">
        <v>102</v>
      </c>
    </row>
    <row r="39" spans="1:3">
      <c r="A39" s="69" t="s">
        <v>24</v>
      </c>
      <c r="B39" s="22">
        <f>ROUNDDOWN(B38*0.9,0)</f>
        <v>10</v>
      </c>
      <c r="C39" s="9" t="s">
        <v>102</v>
      </c>
    </row>
    <row r="40" spans="1:3">
      <c r="A40" s="42" t="s">
        <v>200</v>
      </c>
      <c r="B40" s="7">
        <f>ROUNDUP(B33/B39,0)</f>
        <v>5</v>
      </c>
      <c r="C40" s="9" t="s">
        <v>9</v>
      </c>
    </row>
    <row r="41" spans="1:3" s="56" customFormat="1">
      <c r="A41" s="69" t="s">
        <v>192</v>
      </c>
      <c r="B41" s="53">
        <v>5</v>
      </c>
      <c r="C41" s="76" t="s">
        <v>9</v>
      </c>
    </row>
    <row r="42" spans="1:3">
      <c r="A42" s="6"/>
      <c r="B42" s="6"/>
      <c r="C42" s="9"/>
    </row>
    <row r="43" spans="1:3">
      <c r="A43" s="6" t="s">
        <v>121</v>
      </c>
      <c r="B43" s="22">
        <f>PFCVoHL</f>
        <v>400</v>
      </c>
      <c r="C43" s="9" t="s">
        <v>16</v>
      </c>
    </row>
    <row r="44" spans="1:3">
      <c r="A44" s="6" t="s">
        <v>201</v>
      </c>
      <c r="B44" s="22">
        <f>B43*B41/B33</f>
        <v>40</v>
      </c>
      <c r="C44" s="9" t="s">
        <v>16</v>
      </c>
    </row>
    <row r="45" spans="1:3">
      <c r="A45" s="6" t="s">
        <v>123</v>
      </c>
      <c r="B45" s="10">
        <v>2.5</v>
      </c>
      <c r="C45" s="9" t="s">
        <v>73</v>
      </c>
    </row>
    <row r="46" spans="1:3">
      <c r="A46" s="6" t="s">
        <v>122</v>
      </c>
      <c r="B46" s="22">
        <f>(IF(B45&lt;2,5+B45*2,7+B45*1))</f>
        <v>9.5</v>
      </c>
      <c r="C46" s="9" t="s">
        <v>16</v>
      </c>
    </row>
    <row r="47" spans="1:3">
      <c r="A47" s="42" t="s">
        <v>125</v>
      </c>
      <c r="B47" s="8">
        <f>2*(B44/2-0.6-B46)/B45</f>
        <v>7.919999999999999</v>
      </c>
      <c r="C47" s="9" t="s">
        <v>124</v>
      </c>
    </row>
    <row r="48" spans="1:3" ht="15.75" thickBot="1">
      <c r="A48" s="17"/>
      <c r="B48" s="17"/>
      <c r="C48" s="18"/>
    </row>
    <row r="49" spans="1:3" ht="15.75" thickBot="1">
      <c r="A49" s="28" t="s">
        <v>60</v>
      </c>
      <c r="B49" s="19"/>
      <c r="C49" s="20"/>
    </row>
    <row r="50" spans="1:3">
      <c r="A50" s="26" t="s">
        <v>64</v>
      </c>
      <c r="B50" s="12">
        <v>20</v>
      </c>
      <c r="C50" s="13" t="s">
        <v>65</v>
      </c>
    </row>
    <row r="51" spans="1:3">
      <c r="A51" s="42" t="s">
        <v>93</v>
      </c>
      <c r="B51" s="7">
        <f>(B5/2/PI()/B50/PFCVoLL/flinemin/Effmin*100)*1000000</f>
        <v>74.337140423394928</v>
      </c>
      <c r="C51" s="24" t="s">
        <v>137</v>
      </c>
    </row>
    <row r="52" spans="1:3" ht="15.75" thickBot="1">
      <c r="A52" s="17"/>
      <c r="B52" s="17"/>
      <c r="C52" s="18"/>
    </row>
    <row r="53" spans="1:3" ht="15.75" thickBot="1">
      <c r="A53" s="28" t="s">
        <v>126</v>
      </c>
      <c r="B53" s="19"/>
      <c r="C53" s="20"/>
    </row>
    <row r="54" spans="1:3">
      <c r="A54" s="26" t="s">
        <v>127</v>
      </c>
      <c r="B54" s="12">
        <v>4</v>
      </c>
      <c r="C54" s="13" t="s">
        <v>16</v>
      </c>
    </row>
    <row r="55" spans="1:3">
      <c r="A55" s="6" t="s">
        <v>128</v>
      </c>
      <c r="B55" s="10">
        <v>125</v>
      </c>
      <c r="C55" s="24" t="s">
        <v>129</v>
      </c>
    </row>
    <row r="56" spans="1:3">
      <c r="A56" s="42" t="s">
        <v>202</v>
      </c>
      <c r="B56" s="22">
        <f>(B54/B55)*1000</f>
        <v>32</v>
      </c>
      <c r="C56" s="24" t="s">
        <v>118</v>
      </c>
    </row>
    <row r="57" spans="1:3">
      <c r="A57" s="69" t="s">
        <v>203</v>
      </c>
      <c r="B57" s="77">
        <v>34</v>
      </c>
      <c r="C57" s="24" t="s">
        <v>118</v>
      </c>
    </row>
    <row r="58" spans="1:3">
      <c r="A58" s="42" t="s">
        <v>204</v>
      </c>
      <c r="B58" s="8">
        <f>(PFCVoHL-B54)/(B54/B57)*0.001</f>
        <v>3.3660000000000001</v>
      </c>
      <c r="C58" s="24" t="s">
        <v>130</v>
      </c>
    </row>
    <row r="59" spans="1:3">
      <c r="A59" s="69" t="s">
        <v>203</v>
      </c>
      <c r="B59" s="10">
        <v>3.36</v>
      </c>
      <c r="C59" s="24" t="s">
        <v>130</v>
      </c>
    </row>
  </sheetData>
  <sheetProtection password="DAB8" sheet="1" objects="1" scenarios="1" selectLockedCells="1"/>
  <mergeCells count="1">
    <mergeCell ref="F6:M7"/>
  </mergeCells>
  <dataValidations count="2">
    <dataValidation type="whole" errorStyle="warning" operator="lessThanOrEqual" allowBlank="1" showErrorMessage="1" error="User input greater than suggested maximum inductor value" sqref="B28">
      <formula1>B23</formula1>
    </dataValidation>
    <dataValidation type="whole" errorStyle="warning" operator="greaterThanOrEqual" allowBlank="1" showErrorMessage="1" error="User input less than suggested minimum number of primary turns" sqref="B33">
      <formula1>B32</formula1>
    </dataValidation>
  </dataValidations>
  <pageMargins left="0.7" right="0.7" top="0.75" bottom="0.75" header="0.3" footer="0.3"/>
  <pageSetup orientation="portrait" r:id="rId1"/>
  <drawing r:id="rId2"/>
  <legacyDrawing r:id="rId3"/>
</worksheet>
</file>

<file path=xl/worksheets/sheet4.xml><?xml version="1.0" encoding="utf-8"?>
<worksheet xmlns="http://schemas.openxmlformats.org/spreadsheetml/2006/main" xmlns:r="http://schemas.openxmlformats.org/officeDocument/2006/relationships">
  <sheetPr codeName="Sheet5"/>
  <dimension ref="A3:C38"/>
  <sheetViews>
    <sheetView workbookViewId="0">
      <selection activeCell="B35" sqref="B35"/>
    </sheetView>
  </sheetViews>
  <sheetFormatPr defaultRowHeight="15"/>
  <cols>
    <col min="1" max="1" width="35.85546875" bestFit="1" customWidth="1"/>
    <col min="2" max="2" width="12" bestFit="1" customWidth="1"/>
  </cols>
  <sheetData>
    <row r="3" spans="1:3" ht="15.75" thickBot="1"/>
    <row r="4" spans="1:3" ht="15.75" thickBot="1">
      <c r="A4" s="28" t="s">
        <v>53</v>
      </c>
      <c r="B4" s="14" t="s">
        <v>135</v>
      </c>
      <c r="C4" s="15" t="s">
        <v>136</v>
      </c>
    </row>
    <row r="5" spans="1:3">
      <c r="A5" s="26" t="s">
        <v>54</v>
      </c>
      <c r="B5" s="12">
        <v>650</v>
      </c>
      <c r="C5" s="13" t="s">
        <v>16</v>
      </c>
    </row>
    <row r="6" spans="1:3">
      <c r="A6" s="6" t="s">
        <v>95</v>
      </c>
      <c r="B6" s="10">
        <v>0.9</v>
      </c>
      <c r="C6" s="9"/>
    </row>
    <row r="7" spans="1:3">
      <c r="A7" s="6" t="s">
        <v>55</v>
      </c>
      <c r="B7" s="10">
        <v>100</v>
      </c>
      <c r="C7" s="9" t="s">
        <v>16</v>
      </c>
    </row>
    <row r="8" spans="1:3">
      <c r="A8" s="6" t="s">
        <v>94</v>
      </c>
      <c r="B8" s="10">
        <v>0.9</v>
      </c>
      <c r="C8" s="9"/>
    </row>
    <row r="9" spans="1:3">
      <c r="A9" s="6" t="s">
        <v>32</v>
      </c>
      <c r="B9" s="22">
        <f>QRVinmin</f>
        <v>90</v>
      </c>
      <c r="C9" s="9" t="s">
        <v>16</v>
      </c>
    </row>
    <row r="10" spans="1:3">
      <c r="A10" s="6" t="s">
        <v>30</v>
      </c>
      <c r="B10" s="22">
        <f>QRVinmax</f>
        <v>400</v>
      </c>
      <c r="C10" s="9" t="s">
        <v>16</v>
      </c>
    </row>
    <row r="11" spans="1:3">
      <c r="A11" s="6" t="s">
        <v>0</v>
      </c>
      <c r="B11" s="30">
        <f>QRVo</f>
        <v>20</v>
      </c>
      <c r="C11" s="9" t="s">
        <v>16</v>
      </c>
    </row>
    <row r="12" spans="1:3">
      <c r="A12" s="6" t="s">
        <v>56</v>
      </c>
      <c r="B12" s="22">
        <f>(B5*B6-B10)/B11</f>
        <v>9.25</v>
      </c>
      <c r="C12" s="9" t="s">
        <v>102</v>
      </c>
    </row>
    <row r="13" spans="1:3">
      <c r="A13" s="6" t="s">
        <v>57</v>
      </c>
      <c r="B13" s="8">
        <f>B10/(B7*B8-B11)</f>
        <v>5.7142857142857144</v>
      </c>
      <c r="C13" s="9" t="s">
        <v>102</v>
      </c>
    </row>
    <row r="14" spans="1:3">
      <c r="A14" s="42" t="s">
        <v>58</v>
      </c>
      <c r="B14" s="10">
        <v>6</v>
      </c>
      <c r="C14" s="9" t="s">
        <v>102</v>
      </c>
    </row>
    <row r="15" spans="1:3">
      <c r="A15" s="6"/>
      <c r="B15" s="6"/>
      <c r="C15" s="9"/>
    </row>
    <row r="16" spans="1:3" ht="14.25" customHeight="1">
      <c r="A16" s="6" t="s">
        <v>20</v>
      </c>
      <c r="B16" s="31">
        <f>QRfswmin</f>
        <v>25</v>
      </c>
      <c r="C16" s="9" t="s">
        <v>19</v>
      </c>
    </row>
    <row r="17" spans="1:3" hidden="1">
      <c r="A17" s="6" t="s">
        <v>59</v>
      </c>
      <c r="B17" s="22">
        <f>(1/(QRfswmin*1000))/((1/QRVinmin)+(1/('FB Transformer'!B14*QRVo)))</f>
        <v>2.0571428571428572E-3</v>
      </c>
      <c r="C17" s="9"/>
    </row>
    <row r="18" spans="1:3">
      <c r="A18" s="6" t="s">
        <v>40</v>
      </c>
      <c r="B18" s="8">
        <f>(2*Pomax/QReff*100)/(QRfswmin*1000)/B17</f>
        <v>3.5684974747474749</v>
      </c>
      <c r="C18" s="9" t="s">
        <v>96</v>
      </c>
    </row>
    <row r="19" spans="1:3">
      <c r="A19" s="6" t="s">
        <v>50</v>
      </c>
      <c r="B19" s="7">
        <f>(B17/B18)*1000000</f>
        <v>576.4731155620143</v>
      </c>
      <c r="C19" s="24" t="s">
        <v>98</v>
      </c>
    </row>
    <row r="20" spans="1:3">
      <c r="A20" s="6" t="s">
        <v>103</v>
      </c>
      <c r="B20" s="25">
        <v>0.8</v>
      </c>
      <c r="C20" s="24" t="s">
        <v>16</v>
      </c>
    </row>
    <row r="21" spans="1:3">
      <c r="A21" s="42" t="s">
        <v>211</v>
      </c>
      <c r="B21" s="7">
        <f>(B20/B18)*1000</f>
        <v>224.18398938522776</v>
      </c>
      <c r="C21" s="9" t="s">
        <v>97</v>
      </c>
    </row>
    <row r="22" spans="1:3">
      <c r="A22" s="69" t="s">
        <v>46</v>
      </c>
      <c r="B22" s="53">
        <v>200</v>
      </c>
      <c r="C22" s="9" t="s">
        <v>97</v>
      </c>
    </row>
    <row r="23" spans="1:3">
      <c r="A23" s="6"/>
      <c r="B23" s="6"/>
      <c r="C23" s="9"/>
    </row>
    <row r="24" spans="1:3">
      <c r="A24" s="6" t="s">
        <v>44</v>
      </c>
      <c r="B24" s="10">
        <v>12</v>
      </c>
      <c r="C24" s="9" t="s">
        <v>17</v>
      </c>
    </row>
    <row r="25" spans="1:3">
      <c r="A25" s="42" t="s">
        <v>45</v>
      </c>
      <c r="B25" s="7">
        <f>B19*(1-B24/100)</f>
        <v>507.29634169457256</v>
      </c>
      <c r="C25" s="24" t="s">
        <v>98</v>
      </c>
    </row>
    <row r="26" spans="1:3" ht="15.75" thickBot="1">
      <c r="A26" s="17"/>
      <c r="B26" s="17"/>
      <c r="C26" s="18"/>
    </row>
    <row r="27" spans="1:3" ht="15.75" thickBot="1">
      <c r="A27" s="28" t="s">
        <v>47</v>
      </c>
      <c r="B27" s="19"/>
      <c r="C27" s="20"/>
    </row>
    <row r="28" spans="1:3">
      <c r="A28" s="26" t="s">
        <v>50</v>
      </c>
      <c r="B28" s="33">
        <v>500</v>
      </c>
      <c r="C28" s="29" t="s">
        <v>98</v>
      </c>
    </row>
    <row r="29" spans="1:3">
      <c r="A29" s="6" t="s">
        <v>40</v>
      </c>
      <c r="B29" s="21">
        <f>B18</f>
        <v>3.5684974747474749</v>
      </c>
      <c r="C29" s="9" t="s">
        <v>96</v>
      </c>
    </row>
    <row r="30" spans="1:3">
      <c r="A30" s="6" t="s">
        <v>52</v>
      </c>
      <c r="B30" s="10">
        <v>165</v>
      </c>
      <c r="C30" s="9" t="s">
        <v>99</v>
      </c>
    </row>
    <row r="31" spans="1:3">
      <c r="A31" s="6" t="s">
        <v>100</v>
      </c>
      <c r="B31" s="10">
        <v>300</v>
      </c>
      <c r="C31" s="9" t="s">
        <v>101</v>
      </c>
    </row>
    <row r="32" spans="1:3">
      <c r="A32" s="42" t="s">
        <v>199</v>
      </c>
      <c r="B32" s="7">
        <f>ROUNDUP(B28*B29*1000/B31/B30,0)</f>
        <v>37</v>
      </c>
      <c r="C32" s="9" t="s">
        <v>7</v>
      </c>
    </row>
    <row r="33" spans="1:3">
      <c r="A33" s="69" t="s">
        <v>205</v>
      </c>
      <c r="B33" s="53">
        <v>36</v>
      </c>
      <c r="C33" s="9" t="s">
        <v>7</v>
      </c>
    </row>
    <row r="34" spans="1:3">
      <c r="A34" s="42" t="s">
        <v>206</v>
      </c>
      <c r="B34" s="22">
        <f>ROUNDDOWN(B32/B14,0)</f>
        <v>6</v>
      </c>
      <c r="C34" s="9" t="s">
        <v>8</v>
      </c>
    </row>
    <row r="35" spans="1:3">
      <c r="A35" s="6" t="s">
        <v>207</v>
      </c>
      <c r="B35" s="77">
        <v>6</v>
      </c>
      <c r="C35" s="9" t="s">
        <v>8</v>
      </c>
    </row>
    <row r="36" spans="1:3">
      <c r="A36" s="6" t="s">
        <v>66</v>
      </c>
      <c r="B36" s="10">
        <v>15</v>
      </c>
      <c r="C36" s="9" t="s">
        <v>16</v>
      </c>
    </row>
    <row r="37" spans="1:3">
      <c r="A37" s="42" t="s">
        <v>208</v>
      </c>
      <c r="B37" s="22">
        <f>ROUNDUP(B36/B11*B34,0)</f>
        <v>5</v>
      </c>
      <c r="C37" s="9" t="s">
        <v>9</v>
      </c>
    </row>
    <row r="38" spans="1:3">
      <c r="A38" s="6" t="s">
        <v>209</v>
      </c>
      <c r="B38" s="10">
        <v>5</v>
      </c>
      <c r="C38" s="9" t="s">
        <v>9</v>
      </c>
    </row>
  </sheetData>
  <sheetProtection password="DAB8" sheet="1" objects="1" scenarios="1" selectLockedCells="1"/>
  <dataValidations count="3">
    <dataValidation type="whole" errorStyle="warning" operator="lessThan" allowBlank="1" showErrorMessage="1" error="User input greater than suggested maximum inductor value" sqref="B28">
      <formula1>B25</formula1>
    </dataValidation>
    <dataValidation type="whole" errorStyle="warning" allowBlank="1" showInputMessage="1" showErrorMessage="1" error="User input outside of suggested turns ratio range" sqref="B14">
      <formula1>B13</formula1>
      <formula2>B12</formula2>
    </dataValidation>
    <dataValidation type="whole" errorStyle="warning" operator="greaterThanOrEqual" allowBlank="1" showInputMessage="1" showErrorMessage="1" error="User input less than suggested minimum number of primary turns" sqref="B33">
      <formula1>B32</formula1>
    </dataValidation>
  </dataValidations>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sheetPr codeName="Sheet7"/>
  <dimension ref="A2:Q11"/>
  <sheetViews>
    <sheetView workbookViewId="0">
      <selection activeCell="B9" sqref="B9"/>
    </sheetView>
  </sheetViews>
  <sheetFormatPr defaultRowHeight="15"/>
  <cols>
    <col min="1" max="1" width="17.5703125" customWidth="1"/>
    <col min="4" max="4" width="12" bestFit="1" customWidth="1"/>
  </cols>
  <sheetData>
    <row r="2" spans="1:17" ht="15.75" thickBot="1"/>
    <row r="3" spans="1:17" ht="15.75" thickBot="1">
      <c r="A3" s="28" t="s">
        <v>67</v>
      </c>
      <c r="B3" s="14" t="s">
        <v>135</v>
      </c>
      <c r="C3" s="15" t="s">
        <v>136</v>
      </c>
      <c r="E3" s="89" t="s">
        <v>212</v>
      </c>
      <c r="F3" s="89"/>
      <c r="G3" s="89"/>
      <c r="H3" s="89"/>
      <c r="I3" s="89"/>
      <c r="J3" s="89"/>
      <c r="K3" s="89"/>
      <c r="M3" s="89" t="s">
        <v>213</v>
      </c>
      <c r="N3" s="89"/>
      <c r="O3" s="89"/>
      <c r="P3" s="89"/>
      <c r="Q3" s="89"/>
    </row>
    <row r="4" spans="1:17">
      <c r="A4" s="26" t="s">
        <v>133</v>
      </c>
      <c r="B4" s="12">
        <v>5</v>
      </c>
      <c r="C4" s="13" t="s">
        <v>69</v>
      </c>
      <c r="E4" s="89"/>
      <c r="F4" s="89"/>
      <c r="G4" s="89"/>
      <c r="H4" s="89"/>
      <c r="I4" s="89"/>
      <c r="J4" s="89"/>
      <c r="K4" s="89"/>
      <c r="M4" s="89"/>
      <c r="N4" s="89"/>
      <c r="O4" s="89"/>
      <c r="P4" s="89"/>
      <c r="Q4" s="89"/>
    </row>
    <row r="5" spans="1:17">
      <c r="A5" s="6" t="s">
        <v>131</v>
      </c>
      <c r="B5" s="10">
        <v>50</v>
      </c>
      <c r="C5" s="24" t="s">
        <v>129</v>
      </c>
    </row>
    <row r="6" spans="1:17">
      <c r="A6" s="6" t="s">
        <v>132</v>
      </c>
      <c r="B6" s="10">
        <v>400</v>
      </c>
      <c r="C6" s="9" t="s">
        <v>124</v>
      </c>
    </row>
    <row r="7" spans="1:17">
      <c r="A7" s="6"/>
      <c r="B7" s="6"/>
      <c r="C7" s="9"/>
    </row>
    <row r="8" spans="1:17">
      <c r="A8" s="6" t="s">
        <v>6</v>
      </c>
      <c r="B8" s="8">
        <f>B5+B4/B6*1000</f>
        <v>62.5</v>
      </c>
      <c r="C8" s="24" t="s">
        <v>129</v>
      </c>
    </row>
    <row r="9" spans="1:17">
      <c r="A9" s="6" t="s">
        <v>5</v>
      </c>
      <c r="B9" s="10">
        <v>4</v>
      </c>
      <c r="C9" s="9" t="s">
        <v>69</v>
      </c>
    </row>
    <row r="10" spans="1:17">
      <c r="A10" s="6" t="s">
        <v>134</v>
      </c>
      <c r="B10" s="7">
        <f>B9/B8*1000</f>
        <v>64</v>
      </c>
      <c r="C10" s="9" t="s">
        <v>118</v>
      </c>
    </row>
    <row r="11" spans="1:17">
      <c r="A11" s="42" t="s">
        <v>4</v>
      </c>
      <c r="B11" s="7">
        <f>1/(1/B10-1/B6)</f>
        <v>76.19047619047619</v>
      </c>
      <c r="C11" s="9" t="s">
        <v>118</v>
      </c>
    </row>
  </sheetData>
  <sheetProtection password="DAB8" sheet="1" objects="1" scenarios="1" selectLockedCells="1"/>
  <mergeCells count="2">
    <mergeCell ref="E3:K4"/>
    <mergeCell ref="M3:Q4"/>
  </mergeCells>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sheetPr codeName="Sheet8"/>
  <dimension ref="A2:C14"/>
  <sheetViews>
    <sheetView workbookViewId="0">
      <selection activeCell="B6" sqref="B6"/>
    </sheetView>
  </sheetViews>
  <sheetFormatPr defaultRowHeight="15"/>
  <cols>
    <col min="1" max="1" width="15.5703125" bestFit="1" customWidth="1"/>
  </cols>
  <sheetData>
    <row r="2" spans="1:3" ht="15.75" thickBot="1"/>
    <row r="3" spans="1:3" ht="15.75" thickBot="1">
      <c r="A3" s="28" t="s">
        <v>67</v>
      </c>
      <c r="B3" s="14" t="s">
        <v>135</v>
      </c>
      <c r="C3" s="15" t="s">
        <v>136</v>
      </c>
    </row>
    <row r="4" spans="1:3">
      <c r="A4" s="39" t="s">
        <v>78</v>
      </c>
      <c r="B4" s="12">
        <v>500</v>
      </c>
      <c r="C4" s="40" t="s">
        <v>115</v>
      </c>
    </row>
    <row r="5" spans="1:3">
      <c r="A5" s="6" t="s">
        <v>79</v>
      </c>
      <c r="B5" s="10">
        <v>3.75</v>
      </c>
      <c r="C5" s="9" t="s">
        <v>73</v>
      </c>
    </row>
    <row r="6" spans="1:3">
      <c r="A6" s="6" t="s">
        <v>80</v>
      </c>
      <c r="B6" s="10">
        <v>0.7</v>
      </c>
      <c r="C6" s="9" t="s">
        <v>69</v>
      </c>
    </row>
    <row r="7" spans="1:3">
      <c r="A7" s="6" t="s">
        <v>13</v>
      </c>
      <c r="B7" s="10">
        <v>17</v>
      </c>
      <c r="C7" s="9" t="s">
        <v>69</v>
      </c>
    </row>
    <row r="8" spans="1:3">
      <c r="A8" s="6" t="s">
        <v>12</v>
      </c>
      <c r="B8" s="32">
        <v>47</v>
      </c>
      <c r="C8" s="9" t="s">
        <v>116</v>
      </c>
    </row>
    <row r="9" spans="1:3">
      <c r="A9" s="6"/>
      <c r="B9" s="6"/>
      <c r="C9" s="9"/>
    </row>
    <row r="10" spans="1:3">
      <c r="A10" s="6" t="s">
        <v>14</v>
      </c>
      <c r="B10" s="8">
        <f>(B8*0.000001*B6/B4/0.000001)*1000</f>
        <v>65.799999999999983</v>
      </c>
      <c r="C10" s="9" t="s">
        <v>75</v>
      </c>
    </row>
    <row r="11" spans="1:3">
      <c r="A11" s="6" t="s">
        <v>1</v>
      </c>
      <c r="B11" s="8">
        <f>(B8*0.000001*(B7-B6)/B5/0.001)*1000</f>
        <v>204.29333333333335</v>
      </c>
      <c r="C11" s="9" t="s">
        <v>75</v>
      </c>
    </row>
    <row r="12" spans="1:3">
      <c r="A12" s="6" t="s">
        <v>15</v>
      </c>
      <c r="B12" s="8">
        <v>80</v>
      </c>
      <c r="C12" s="9" t="s">
        <v>75</v>
      </c>
    </row>
    <row r="13" spans="1:3">
      <c r="A13" s="6"/>
      <c r="B13" s="6"/>
      <c r="C13" s="9"/>
    </row>
    <row r="14" spans="1:3">
      <c r="A14" s="6" t="s">
        <v>117</v>
      </c>
      <c r="B14" s="8">
        <f>SUM(B10:B12)</f>
        <v>350.09333333333336</v>
      </c>
      <c r="C14" s="9" t="s">
        <v>75</v>
      </c>
    </row>
  </sheetData>
  <sheetProtection password="DAB8" sheet="1" objects="1" scenarios="1" selectLockedCells="1"/>
  <pageMargins left="0.7" right="0.7" top="0.75" bottom="0.75" header="0.3" footer="0.3"/>
  <pageSetup orientation="portrait" r:id="rId1"/>
  <legacyDrawing r:id="rId2"/>
</worksheet>
</file>

<file path=xl/worksheets/sheet7.xml><?xml version="1.0" encoding="utf-8"?>
<worksheet xmlns="http://schemas.openxmlformats.org/spreadsheetml/2006/main" xmlns:r="http://schemas.openxmlformats.org/officeDocument/2006/relationships">
  <sheetPr codeName="Sheet9"/>
  <dimension ref="A1:C12"/>
  <sheetViews>
    <sheetView workbookViewId="0">
      <selection activeCell="B4" sqref="B4"/>
    </sheetView>
  </sheetViews>
  <sheetFormatPr defaultRowHeight="15"/>
  <cols>
    <col min="1" max="1" width="15.5703125" bestFit="1" customWidth="1"/>
    <col min="2" max="2" width="12" bestFit="1" customWidth="1"/>
  </cols>
  <sheetData>
    <row r="1" spans="1:3" ht="15.75" thickBot="1"/>
    <row r="2" spans="1:3" ht="15.75" thickBot="1">
      <c r="A2" s="28" t="s">
        <v>67</v>
      </c>
      <c r="B2" s="14" t="s">
        <v>135</v>
      </c>
      <c r="C2" s="15" t="s">
        <v>136</v>
      </c>
    </row>
    <row r="3" spans="1:3">
      <c r="A3" s="39" t="s">
        <v>68</v>
      </c>
      <c r="B3" s="41">
        <v>3.5</v>
      </c>
      <c r="C3" s="40" t="s">
        <v>69</v>
      </c>
    </row>
    <row r="4" spans="1:3">
      <c r="A4" s="6" t="s">
        <v>70</v>
      </c>
      <c r="B4" s="10">
        <v>1</v>
      </c>
      <c r="C4" s="9" t="s">
        <v>69</v>
      </c>
    </row>
    <row r="5" spans="1:3">
      <c r="A5" s="6" t="s">
        <v>71</v>
      </c>
      <c r="B5" s="10">
        <v>10</v>
      </c>
      <c r="C5" s="9" t="s">
        <v>115</v>
      </c>
    </row>
    <row r="6" spans="1:3">
      <c r="A6" s="6" t="s">
        <v>72</v>
      </c>
      <c r="B6" s="10">
        <v>1</v>
      </c>
      <c r="C6" s="9" t="s">
        <v>73</v>
      </c>
    </row>
    <row r="7" spans="1:3">
      <c r="A7" s="6"/>
      <c r="B7" s="6"/>
      <c r="C7" s="9"/>
    </row>
    <row r="8" spans="1:3">
      <c r="A8" s="6" t="s">
        <v>74</v>
      </c>
      <c r="B8" s="22">
        <f>B4/B5*1000</f>
        <v>100</v>
      </c>
      <c r="C8" s="24" t="s">
        <v>118</v>
      </c>
    </row>
    <row r="9" spans="1:3">
      <c r="A9" s="42" t="s">
        <v>77</v>
      </c>
      <c r="B9" s="32">
        <v>750</v>
      </c>
      <c r="C9" s="24" t="s">
        <v>118</v>
      </c>
    </row>
    <row r="10" spans="1:3">
      <c r="A10" s="6" t="s">
        <v>119</v>
      </c>
      <c r="B10" s="10">
        <v>100</v>
      </c>
      <c r="C10" s="9" t="s">
        <v>75</v>
      </c>
    </row>
    <row r="11" spans="1:3">
      <c r="A11" s="42" t="s">
        <v>76</v>
      </c>
      <c r="B11" s="8">
        <f>(-0.001*B10/(B9*1000*LN(1-B4/(B5*0.000001*B9*1000))))*1000000</f>
        <v>0.93174386636135975</v>
      </c>
      <c r="C11" s="24" t="s">
        <v>98</v>
      </c>
    </row>
    <row r="12" spans="1:3">
      <c r="A12" s="6" t="s">
        <v>120</v>
      </c>
      <c r="B12" s="8">
        <f>(-B9*B11*LN(1-((B3-B4)/(B6*0.001*B9*1000))))</f>
        <v>2.3332505808970567</v>
      </c>
      <c r="C12" s="9" t="s">
        <v>75</v>
      </c>
    </row>
  </sheetData>
  <sheetProtection password="DAB8" sheet="1" objects="1" scenarios="1" selectLockedCells="1"/>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sheetPr codeName="Sheet12"/>
  <dimension ref="A2:C19"/>
  <sheetViews>
    <sheetView workbookViewId="0">
      <selection activeCell="B4" sqref="B4"/>
    </sheetView>
  </sheetViews>
  <sheetFormatPr defaultRowHeight="15"/>
  <cols>
    <col min="1" max="1" width="28" bestFit="1" customWidth="1"/>
  </cols>
  <sheetData>
    <row r="2" spans="1:3" ht="15.75" thickBot="1"/>
    <row r="3" spans="1:3" ht="15.75" thickBot="1">
      <c r="A3" s="28" t="s">
        <v>67</v>
      </c>
      <c r="B3" s="14" t="s">
        <v>135</v>
      </c>
      <c r="C3" s="15" t="s">
        <v>136</v>
      </c>
    </row>
    <row r="4" spans="1:3">
      <c r="A4" s="39" t="s">
        <v>81</v>
      </c>
      <c r="B4" s="41">
        <v>200</v>
      </c>
      <c r="C4" s="40" t="s">
        <v>75</v>
      </c>
    </row>
    <row r="5" spans="1:3">
      <c r="A5" s="6" t="s">
        <v>79</v>
      </c>
      <c r="B5" s="10">
        <v>3.75</v>
      </c>
      <c r="C5" s="9" t="s">
        <v>73</v>
      </c>
    </row>
    <row r="6" spans="1:3">
      <c r="A6" s="6" t="s">
        <v>83</v>
      </c>
      <c r="B6" s="10">
        <v>8.8000000000000007</v>
      </c>
      <c r="C6" s="9" t="s">
        <v>69</v>
      </c>
    </row>
    <row r="7" spans="1:3">
      <c r="A7" s="6" t="s">
        <v>84</v>
      </c>
      <c r="B7" s="10">
        <v>11.5</v>
      </c>
      <c r="C7" s="9" t="s">
        <v>73</v>
      </c>
    </row>
    <row r="8" spans="1:3" ht="15.75" thickBot="1">
      <c r="A8" s="17"/>
      <c r="B8" s="17"/>
      <c r="C8" s="18"/>
    </row>
    <row r="9" spans="1:3" ht="15.75" thickBot="1">
      <c r="A9" s="28" t="s">
        <v>36</v>
      </c>
      <c r="B9" s="19"/>
      <c r="C9" s="20"/>
    </row>
    <row r="10" spans="1:3">
      <c r="A10" s="26" t="s">
        <v>82</v>
      </c>
      <c r="B10" s="27">
        <f>Vacmax*SQRT(2)</f>
        <v>374.7665940288702</v>
      </c>
      <c r="C10" s="13" t="s">
        <v>16</v>
      </c>
    </row>
    <row r="11" spans="1:3">
      <c r="A11" s="6" t="s">
        <v>85</v>
      </c>
      <c r="B11" s="32">
        <v>16</v>
      </c>
      <c r="C11" s="9" t="s">
        <v>16</v>
      </c>
    </row>
    <row r="12" spans="1:3">
      <c r="A12" s="6" t="s">
        <v>86</v>
      </c>
      <c r="B12" s="32">
        <v>200</v>
      </c>
      <c r="C12" s="9" t="s">
        <v>87</v>
      </c>
    </row>
    <row r="13" spans="1:3">
      <c r="A13" s="6" t="s">
        <v>88</v>
      </c>
      <c r="B13" s="32">
        <v>47</v>
      </c>
      <c r="C13" s="9" t="s">
        <v>116</v>
      </c>
    </row>
    <row r="14" spans="1:3">
      <c r="A14" s="6" t="s">
        <v>91</v>
      </c>
      <c r="B14" s="32">
        <v>100</v>
      </c>
      <c r="C14" s="9" t="s">
        <v>116</v>
      </c>
    </row>
    <row r="15" spans="1:3">
      <c r="A15" s="6"/>
      <c r="B15" s="6"/>
      <c r="C15" s="9"/>
    </row>
    <row r="16" spans="1:3">
      <c r="A16" s="6" t="s">
        <v>89</v>
      </c>
      <c r="B16" s="8">
        <f>((B13+B14)*0.000001*(B11-B6)/B7/0.001)*1000</f>
        <v>92.03478260869565</v>
      </c>
      <c r="C16" s="9" t="s">
        <v>75</v>
      </c>
    </row>
    <row r="17" spans="1:3">
      <c r="A17" s="6" t="s">
        <v>90</v>
      </c>
      <c r="B17" s="8">
        <f>(B12*0.000000001*B10/B5/0.001)*1000</f>
        <v>19.987551681539745</v>
      </c>
      <c r="C17" s="9" t="s">
        <v>75</v>
      </c>
    </row>
    <row r="18" spans="1:3">
      <c r="A18" s="6"/>
      <c r="B18" s="6"/>
      <c r="C18" s="9"/>
    </row>
    <row r="19" spans="1:3">
      <c r="A19" s="6" t="s">
        <v>92</v>
      </c>
      <c r="B19" s="8">
        <f>SUM(B4,B16:B17)</f>
        <v>312.02233429023539</v>
      </c>
      <c r="C19" s="9" t="s">
        <v>75</v>
      </c>
    </row>
  </sheetData>
  <sheetProtection password="DAB8" sheet="1" objects="1" scenarios="1" selectLockedCells="1"/>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sheetPr codeName="Sheet10"/>
  <dimension ref="A3:N30"/>
  <sheetViews>
    <sheetView workbookViewId="0">
      <selection activeCell="B7" sqref="B7"/>
    </sheetView>
  </sheetViews>
  <sheetFormatPr defaultRowHeight="15"/>
  <cols>
    <col min="1" max="1" width="41.42578125" bestFit="1" customWidth="1"/>
    <col min="4" max="4" width="11.140625" bestFit="1" customWidth="1"/>
  </cols>
  <sheetData>
    <row r="3" spans="1:14">
      <c r="E3" s="89" t="s">
        <v>214</v>
      </c>
      <c r="F3" s="89"/>
      <c r="G3" s="89"/>
      <c r="H3" s="89"/>
      <c r="I3" s="89"/>
      <c r="J3" s="89"/>
      <c r="K3" s="89"/>
      <c r="L3" s="89"/>
      <c r="M3" s="89"/>
      <c r="N3" s="89"/>
    </row>
    <row r="4" spans="1:14">
      <c r="E4" s="89"/>
      <c r="F4" s="89"/>
      <c r="G4" s="89"/>
      <c r="H4" s="89"/>
      <c r="I4" s="89"/>
      <c r="J4" s="89"/>
      <c r="K4" s="89"/>
      <c r="L4" s="89"/>
      <c r="M4" s="89"/>
      <c r="N4" s="89"/>
    </row>
    <row r="5" spans="1:14">
      <c r="A5" s="6" t="s">
        <v>140</v>
      </c>
      <c r="B5" s="30">
        <f>QRLpri</f>
        <v>500</v>
      </c>
      <c r="C5" s="24" t="s">
        <v>98</v>
      </c>
    </row>
    <row r="6" spans="1:14">
      <c r="A6" s="6" t="s">
        <v>63</v>
      </c>
      <c r="B6" s="30">
        <f>RQsense</f>
        <v>200</v>
      </c>
      <c r="C6" s="24" t="s">
        <v>108</v>
      </c>
      <c r="F6" s="1"/>
      <c r="G6" s="1"/>
    </row>
    <row r="7" spans="1:14">
      <c r="A7" s="6" t="s">
        <v>103</v>
      </c>
      <c r="B7" s="10">
        <v>0.8</v>
      </c>
      <c r="C7" s="24" t="s">
        <v>16</v>
      </c>
    </row>
    <row r="8" spans="1:14">
      <c r="A8" s="6" t="s">
        <v>142</v>
      </c>
      <c r="B8" s="22">
        <f>(B7/B6)*1000</f>
        <v>4</v>
      </c>
      <c r="C8" s="24" t="s">
        <v>96</v>
      </c>
      <c r="F8" s="1"/>
      <c r="G8" s="1"/>
    </row>
    <row r="9" spans="1:14">
      <c r="A9" s="6" t="s">
        <v>138</v>
      </c>
      <c r="B9" s="30">
        <f>QRLNp</f>
        <v>36</v>
      </c>
      <c r="C9" s="9" t="s">
        <v>7</v>
      </c>
    </row>
    <row r="10" spans="1:14">
      <c r="A10" s="6" t="s">
        <v>143</v>
      </c>
      <c r="B10" s="30">
        <f>QRLNs</f>
        <v>6</v>
      </c>
      <c r="C10" s="9" t="s">
        <v>8</v>
      </c>
      <c r="F10" s="1"/>
      <c r="G10" s="1"/>
    </row>
    <row r="11" spans="1:14">
      <c r="A11" s="6" t="s">
        <v>139</v>
      </c>
      <c r="B11" s="30">
        <f>QRLNaux</f>
        <v>5</v>
      </c>
      <c r="C11" s="9" t="s">
        <v>9</v>
      </c>
      <c r="F11" s="1"/>
      <c r="G11" s="1"/>
    </row>
    <row r="12" spans="1:14">
      <c r="A12" s="6" t="s">
        <v>146</v>
      </c>
      <c r="B12" s="22">
        <f>B5*B8/PFCVoLL</f>
        <v>8</v>
      </c>
      <c r="C12" s="24" t="s">
        <v>106</v>
      </c>
      <c r="F12" s="1"/>
      <c r="G12" s="1"/>
    </row>
    <row r="13" spans="1:14">
      <c r="A13" s="6" t="s">
        <v>147</v>
      </c>
      <c r="B13" s="22">
        <f>B5*B8/PFCVoHL</f>
        <v>5</v>
      </c>
      <c r="C13" s="24" t="s">
        <v>106</v>
      </c>
      <c r="F13" s="1"/>
      <c r="G13" s="1"/>
    </row>
    <row r="14" spans="1:14">
      <c r="A14" s="6" t="s">
        <v>193</v>
      </c>
      <c r="B14" s="8">
        <f>B5*B8*(B10/B9)/QRVo</f>
        <v>16.666666666666664</v>
      </c>
      <c r="C14" s="24" t="s">
        <v>106</v>
      </c>
      <c r="F14" s="1"/>
    </row>
    <row r="15" spans="1:14">
      <c r="A15" s="6" t="s">
        <v>144</v>
      </c>
      <c r="B15" s="8">
        <f>0.5*PFCVoLL*B8*B12/SUM(B12,B14)</f>
        <v>162.16216216216219</v>
      </c>
      <c r="C15" s="24" t="s">
        <v>21</v>
      </c>
      <c r="F15" s="1"/>
    </row>
    <row r="16" spans="1:14">
      <c r="A16" s="6" t="s">
        <v>145</v>
      </c>
      <c r="B16" s="8">
        <f>0.5*PFCVoHL*B8*B13/SUM(B13,B14)</f>
        <v>184.61538461538464</v>
      </c>
      <c r="C16" s="24" t="s">
        <v>21</v>
      </c>
      <c r="E16" s="1"/>
    </row>
    <row r="17" spans="1:3">
      <c r="A17" s="6"/>
      <c r="B17" s="6"/>
      <c r="C17" s="9"/>
    </row>
    <row r="18" spans="1:3">
      <c r="A18" s="6" t="s">
        <v>149</v>
      </c>
      <c r="B18" s="53">
        <v>160</v>
      </c>
      <c r="C18" s="9" t="s">
        <v>21</v>
      </c>
    </row>
    <row r="19" spans="1:3">
      <c r="A19" s="6" t="s">
        <v>156</v>
      </c>
      <c r="B19" s="78">
        <f>0.5*PFCVoHL*B20*B21/SUM(B21,B22)</f>
        <v>160</v>
      </c>
      <c r="C19" s="9" t="s">
        <v>21</v>
      </c>
    </row>
    <row r="20" spans="1:3">
      <c r="A20" s="6" t="s">
        <v>148</v>
      </c>
      <c r="B20" s="79">
        <v>3.4666666666666668</v>
      </c>
      <c r="C20" s="9" t="s">
        <v>141</v>
      </c>
    </row>
    <row r="21" spans="1:3">
      <c r="A21" s="6" t="s">
        <v>1</v>
      </c>
      <c r="B21" s="8">
        <f>B5*B20/PFCVoHL</f>
        <v>4.3333333333333339</v>
      </c>
      <c r="C21" s="24" t="s">
        <v>106</v>
      </c>
    </row>
    <row r="22" spans="1:3">
      <c r="A22" s="6" t="s">
        <v>2</v>
      </c>
      <c r="B22" s="8">
        <f>B5*B20*(B10/B9)/QRVo</f>
        <v>14.444444444444446</v>
      </c>
      <c r="C22" s="24" t="s">
        <v>106</v>
      </c>
    </row>
    <row r="23" spans="1:3">
      <c r="A23" s="6" t="s">
        <v>150</v>
      </c>
      <c r="B23" s="8">
        <f>B20*B6*0.001</f>
        <v>0.69333333333333336</v>
      </c>
      <c r="C23" s="9" t="s">
        <v>16</v>
      </c>
    </row>
    <row r="24" spans="1:3">
      <c r="A24" s="6" t="s">
        <v>151</v>
      </c>
      <c r="B24" s="8">
        <f>B7-B23</f>
        <v>0.10666666666666669</v>
      </c>
      <c r="C24" s="9" t="s">
        <v>16</v>
      </c>
    </row>
    <row r="25" spans="1:3">
      <c r="A25" s="6"/>
      <c r="B25" s="6"/>
      <c r="C25" s="9"/>
    </row>
    <row r="26" spans="1:3">
      <c r="A26" s="6" t="s">
        <v>155</v>
      </c>
      <c r="B26" s="8">
        <f>PFCVoHL*B11/B9</f>
        <v>55.555555555555557</v>
      </c>
      <c r="C26" s="9" t="s">
        <v>16</v>
      </c>
    </row>
    <row r="27" spans="1:3">
      <c r="A27" s="42" t="s">
        <v>152</v>
      </c>
      <c r="B27" s="10">
        <v>2</v>
      </c>
      <c r="C27" s="9" t="s">
        <v>124</v>
      </c>
    </row>
    <row r="28" spans="1:3">
      <c r="A28" s="42" t="s">
        <v>153</v>
      </c>
      <c r="B28" s="22">
        <f>B27</f>
        <v>2</v>
      </c>
      <c r="C28" s="9" t="s">
        <v>124</v>
      </c>
    </row>
    <row r="29" spans="1:3">
      <c r="A29" s="42" t="s">
        <v>154</v>
      </c>
      <c r="B29" s="7">
        <f>(B26-(B24/B28)*(B27+B28))/(B24/B28)</f>
        <v>1037.6666666666665</v>
      </c>
      <c r="C29" s="24" t="s">
        <v>118</v>
      </c>
    </row>
    <row r="30" spans="1:3">
      <c r="C30" s="4"/>
    </row>
  </sheetData>
  <sheetProtection password="DAB8" sheet="1" objects="1" scenarios="1" selectLockedCells="1"/>
  <mergeCells count="1">
    <mergeCell ref="E3:N4"/>
  </mergeCells>
  <pageMargins left="0.7" right="0.7" top="0.75" bottom="0.75" header="0.3" footer="0.3"/>
  <pageSetup orientation="portrait" r:id="rId1"/>
  <drawing r:id="rId2"/>
  <legacyDrawing r:id="rId3"/>
  <controls>
    <control shapeId="8208" r:id="rId4" name="CommandButton1"/>
  </controls>
</worksheet>
</file>

<file path=xl/worksheets/sheet10.xml><?xml version="1.0" encoding="utf-8"?>
<worksheet xmlns="http://schemas.openxmlformats.org/spreadsheetml/2006/main" xmlns:r="http://schemas.openxmlformats.org/officeDocument/2006/relationships">
  <sheetPr codeName="Sheet2"/>
  <dimension ref="A1:R206"/>
  <sheetViews>
    <sheetView zoomScaleNormal="100" workbookViewId="0">
      <selection activeCell="B11" sqref="B11"/>
    </sheetView>
  </sheetViews>
  <sheetFormatPr defaultRowHeight="15"/>
  <cols>
    <col min="1" max="1" width="48.28515625" customWidth="1"/>
    <col min="2" max="10" width="12.7109375" customWidth="1"/>
  </cols>
  <sheetData>
    <row r="1" spans="1:18">
      <c r="D1" s="48" t="s">
        <v>173</v>
      </c>
    </row>
    <row r="2" spans="1:18">
      <c r="B2" s="43"/>
      <c r="C2" s="43"/>
      <c r="D2" s="43"/>
      <c r="E2" s="43"/>
      <c r="F2" s="43"/>
      <c r="G2" s="43"/>
      <c r="H2" s="43"/>
      <c r="I2" s="43"/>
      <c r="J2" s="43"/>
    </row>
    <row r="3" spans="1:18">
      <c r="B3" s="43"/>
      <c r="C3" s="43"/>
      <c r="D3" s="43"/>
      <c r="E3" s="43"/>
      <c r="F3" s="43"/>
      <c r="G3" s="43"/>
      <c r="H3" s="43"/>
      <c r="I3" s="43"/>
      <c r="J3" s="43"/>
    </row>
    <row r="4" spans="1:18">
      <c r="A4" t="s">
        <v>140</v>
      </c>
      <c r="B4" s="55">
        <f>QRLpri</f>
        <v>500</v>
      </c>
      <c r="C4" s="44" t="s">
        <v>98</v>
      </c>
      <c r="D4" s="43"/>
      <c r="E4" s="43"/>
      <c r="F4" s="43"/>
      <c r="G4" s="43"/>
      <c r="H4" s="43"/>
      <c r="I4" s="43"/>
      <c r="J4" s="43"/>
      <c r="K4" s="2"/>
      <c r="L4" s="2"/>
      <c r="M4" s="2"/>
      <c r="N4" s="2"/>
      <c r="O4" s="2"/>
      <c r="P4" s="2"/>
      <c r="Q4" s="2"/>
      <c r="R4" s="2"/>
    </row>
    <row r="5" spans="1:18">
      <c r="A5" t="s">
        <v>138</v>
      </c>
      <c r="B5" s="55">
        <f>QRLNp</f>
        <v>36</v>
      </c>
      <c r="C5" s="43" t="s">
        <v>7</v>
      </c>
      <c r="D5" s="43"/>
      <c r="E5" s="43"/>
      <c r="F5" s="43"/>
      <c r="G5" s="43"/>
      <c r="H5" s="43"/>
      <c r="I5" s="43"/>
      <c r="J5" s="43"/>
      <c r="K5" s="2"/>
      <c r="L5" s="46"/>
      <c r="M5" s="46"/>
      <c r="N5" s="46"/>
      <c r="O5" s="46"/>
      <c r="P5" s="46"/>
      <c r="Q5" s="46"/>
      <c r="R5" s="2"/>
    </row>
    <row r="6" spans="1:18">
      <c r="A6" t="s">
        <v>143</v>
      </c>
      <c r="B6" s="55">
        <f>QRLNs</f>
        <v>6</v>
      </c>
      <c r="C6" s="43" t="s">
        <v>8</v>
      </c>
      <c r="D6" s="43"/>
      <c r="E6" s="43"/>
      <c r="F6" s="43"/>
      <c r="G6" s="43"/>
      <c r="H6" s="43"/>
      <c r="I6" s="43"/>
      <c r="J6" s="43"/>
      <c r="K6" s="2"/>
      <c r="L6" s="46"/>
      <c r="M6" s="46"/>
      <c r="N6" s="46"/>
      <c r="O6" s="46"/>
      <c r="P6" s="46"/>
      <c r="Q6" s="46"/>
      <c r="R6" s="2"/>
    </row>
    <row r="7" spans="1:18">
      <c r="A7" t="s">
        <v>157</v>
      </c>
      <c r="B7" s="55">
        <f>QRLNaux</f>
        <v>5</v>
      </c>
      <c r="C7" s="43" t="s">
        <v>9</v>
      </c>
      <c r="D7" s="43"/>
      <c r="E7" s="43"/>
      <c r="F7" s="43"/>
      <c r="G7" s="43"/>
      <c r="H7" s="43"/>
      <c r="I7" s="43"/>
      <c r="J7" s="43"/>
      <c r="K7" s="2"/>
      <c r="L7" s="46"/>
      <c r="M7" s="46"/>
      <c r="N7" s="46"/>
      <c r="O7" s="46"/>
      <c r="P7" s="46"/>
      <c r="Q7" s="46"/>
      <c r="R7" s="2"/>
    </row>
    <row r="8" spans="1:18">
      <c r="A8" t="s">
        <v>63</v>
      </c>
      <c r="B8" s="55">
        <f>QRRcs</f>
        <v>200</v>
      </c>
      <c r="C8" s="43" t="s">
        <v>97</v>
      </c>
      <c r="D8" s="43"/>
      <c r="E8" s="43"/>
      <c r="F8" s="43"/>
      <c r="G8" s="43"/>
      <c r="H8" s="43"/>
      <c r="I8" s="43"/>
      <c r="J8" s="43"/>
      <c r="K8" s="2"/>
      <c r="L8" s="47"/>
      <c r="M8" s="46"/>
      <c r="N8" s="46"/>
      <c r="O8" s="46"/>
      <c r="P8" s="46"/>
      <c r="Q8" s="46"/>
      <c r="R8" s="2"/>
    </row>
    <row r="9" spans="1:18">
      <c r="A9" t="s">
        <v>22</v>
      </c>
      <c r="B9" s="55">
        <f>Pomax</f>
        <v>85</v>
      </c>
      <c r="C9" s="43" t="s">
        <v>21</v>
      </c>
      <c r="D9" s="43"/>
      <c r="E9" s="43"/>
      <c r="F9" s="43"/>
      <c r="G9" s="43"/>
      <c r="H9" s="43"/>
      <c r="I9" s="43"/>
      <c r="J9" s="43"/>
      <c r="K9" s="2"/>
      <c r="L9" s="47"/>
      <c r="M9" s="46"/>
      <c r="N9" s="46"/>
      <c r="O9" s="46"/>
      <c r="P9" s="46"/>
      <c r="Q9" s="46"/>
      <c r="R9" s="2"/>
    </row>
    <row r="10" spans="1:18">
      <c r="A10" t="s">
        <v>158</v>
      </c>
      <c r="B10" s="52">
        <f>Effmin</f>
        <v>88</v>
      </c>
      <c r="C10" s="43" t="s">
        <v>17</v>
      </c>
      <c r="D10" s="43"/>
      <c r="E10" s="43"/>
      <c r="F10" s="43"/>
      <c r="G10" s="43"/>
      <c r="H10" s="43"/>
      <c r="I10" s="43"/>
      <c r="J10" s="43"/>
      <c r="K10" s="2"/>
      <c r="L10" s="46"/>
      <c r="M10" s="46"/>
      <c r="N10" s="46"/>
      <c r="O10" s="46"/>
      <c r="P10" s="46"/>
      <c r="Q10" s="46"/>
      <c r="R10" s="2"/>
    </row>
    <row r="11" spans="1:18">
      <c r="A11" t="s">
        <v>159</v>
      </c>
      <c r="B11" s="51">
        <v>125</v>
      </c>
      <c r="C11" s="43" t="s">
        <v>160</v>
      </c>
      <c r="D11" s="45"/>
      <c r="E11" s="43"/>
      <c r="F11" s="43"/>
      <c r="G11" s="43"/>
      <c r="H11" s="43"/>
      <c r="I11" s="43"/>
      <c r="J11" s="43"/>
      <c r="K11" s="2"/>
      <c r="L11" s="46"/>
      <c r="M11" s="46"/>
      <c r="N11" s="46"/>
      <c r="O11" s="46"/>
      <c r="P11" s="46"/>
      <c r="Q11" s="46"/>
      <c r="R11" s="2"/>
    </row>
    <row r="12" spans="1:18">
      <c r="A12" t="s">
        <v>0</v>
      </c>
      <c r="B12" s="52">
        <f>QRVo</f>
        <v>20</v>
      </c>
      <c r="C12" s="43" t="s">
        <v>69</v>
      </c>
      <c r="D12" s="45"/>
      <c r="E12" s="43"/>
      <c r="F12" s="43"/>
      <c r="G12" s="43"/>
      <c r="H12" s="83"/>
      <c r="I12" s="83"/>
      <c r="J12" s="83"/>
      <c r="K12" s="2"/>
      <c r="L12" s="46"/>
      <c r="M12" s="46"/>
      <c r="N12" s="46"/>
      <c r="O12" s="46"/>
      <c r="P12" s="46"/>
      <c r="Q12" s="46"/>
      <c r="R12" s="2"/>
    </row>
    <row r="13" spans="1:18">
      <c r="A13" t="s">
        <v>194</v>
      </c>
      <c r="B13" s="51">
        <v>3.2</v>
      </c>
      <c r="C13" s="43" t="s">
        <v>69</v>
      </c>
      <c r="D13" s="45"/>
      <c r="E13" s="43"/>
      <c r="F13" s="43"/>
      <c r="G13" s="43"/>
      <c r="H13" s="83"/>
      <c r="I13" s="83"/>
      <c r="J13" s="83"/>
      <c r="K13" s="2"/>
      <c r="L13" s="46"/>
      <c r="M13" s="46"/>
      <c r="N13" s="46"/>
      <c r="O13" s="46"/>
      <c r="P13" s="46"/>
      <c r="Q13" s="46"/>
      <c r="R13" s="2"/>
    </row>
    <row r="14" spans="1:18">
      <c r="A14" t="s">
        <v>142</v>
      </c>
      <c r="B14" s="50">
        <f>B13/4/B8*1000</f>
        <v>4</v>
      </c>
      <c r="C14" s="43" t="s">
        <v>141</v>
      </c>
      <c r="D14" s="43"/>
      <c r="E14" s="43"/>
      <c r="F14" s="43"/>
      <c r="G14" s="43"/>
      <c r="H14" s="83"/>
      <c r="I14" s="83"/>
      <c r="J14" s="83"/>
      <c r="K14" s="2"/>
      <c r="L14" s="46"/>
      <c r="M14" s="46"/>
      <c r="N14" s="46"/>
      <c r="O14" s="46"/>
      <c r="P14" s="46"/>
      <c r="Q14" s="46"/>
      <c r="R14" s="2"/>
    </row>
    <row r="15" spans="1:18">
      <c r="A15" t="s">
        <v>163</v>
      </c>
      <c r="B15" s="51">
        <v>250</v>
      </c>
      <c r="C15" s="43" t="s">
        <v>69</v>
      </c>
      <c r="D15" s="43"/>
      <c r="E15" s="43"/>
      <c r="F15" s="43"/>
      <c r="G15" s="43"/>
      <c r="H15" s="83"/>
      <c r="I15" s="83"/>
      <c r="J15" s="83"/>
      <c r="K15" s="2"/>
      <c r="L15" s="46"/>
      <c r="M15" s="46"/>
      <c r="N15" s="46"/>
      <c r="O15" s="46"/>
      <c r="P15" s="46"/>
      <c r="Q15" s="46"/>
      <c r="R15" s="2"/>
    </row>
    <row r="16" spans="1:18">
      <c r="A16" t="s">
        <v>166</v>
      </c>
      <c r="B16" s="51">
        <v>150</v>
      </c>
      <c r="C16" s="43" t="s">
        <v>160</v>
      </c>
      <c r="D16" s="43"/>
      <c r="E16" s="43"/>
      <c r="F16" s="43"/>
      <c r="G16" s="43"/>
      <c r="H16" s="43"/>
      <c r="I16" s="43"/>
      <c r="J16" s="43"/>
      <c r="K16" s="2"/>
      <c r="L16" s="46"/>
      <c r="M16" s="46"/>
      <c r="N16" s="46"/>
      <c r="O16" s="46"/>
      <c r="P16" s="46"/>
      <c r="Q16" s="46"/>
      <c r="R16" s="2"/>
    </row>
    <row r="17" spans="1:18">
      <c r="A17" t="s">
        <v>10</v>
      </c>
      <c r="B17" s="51">
        <v>20</v>
      </c>
      <c r="C17" s="44" t="s">
        <v>129</v>
      </c>
      <c r="D17" s="43"/>
      <c r="E17" s="43"/>
      <c r="F17" s="43"/>
      <c r="G17" s="43"/>
      <c r="H17" s="43"/>
      <c r="I17" s="43"/>
      <c r="J17" s="43"/>
      <c r="K17" s="2"/>
      <c r="L17" s="2"/>
      <c r="M17" s="2"/>
      <c r="N17" s="2"/>
      <c r="O17" s="2"/>
      <c r="P17" s="2"/>
      <c r="Q17" s="2"/>
      <c r="R17" s="2"/>
    </row>
    <row r="18" spans="1:18">
      <c r="A18" t="s">
        <v>171</v>
      </c>
      <c r="B18" s="57">
        <v>53</v>
      </c>
      <c r="C18" s="44" t="s">
        <v>21</v>
      </c>
      <c r="D18" s="43"/>
      <c r="E18" s="43"/>
      <c r="F18" s="43"/>
      <c r="G18" s="43"/>
      <c r="H18" s="43"/>
      <c r="I18" s="43"/>
      <c r="J18" s="43"/>
      <c r="K18" s="2"/>
      <c r="L18" s="2"/>
      <c r="M18" s="2"/>
      <c r="N18" s="2"/>
      <c r="O18" s="2"/>
      <c r="P18" s="2"/>
      <c r="Q18" s="2"/>
      <c r="R18" s="2"/>
    </row>
    <row r="19" spans="1:18">
      <c r="A19" s="49" t="s">
        <v>172</v>
      </c>
      <c r="B19" s="54">
        <v>450.88058496900874</v>
      </c>
      <c r="C19" s="44" t="s">
        <v>118</v>
      </c>
      <c r="D19" s="43"/>
      <c r="E19" s="43"/>
      <c r="F19" s="43"/>
      <c r="G19" s="43"/>
      <c r="H19" s="43"/>
      <c r="I19" s="43"/>
      <c r="J19" s="43"/>
      <c r="K19" s="2"/>
      <c r="L19" s="2"/>
      <c r="M19" s="2"/>
      <c r="N19" s="2"/>
      <c r="O19" s="2"/>
      <c r="P19" s="2"/>
      <c r="Q19" s="2"/>
      <c r="R19" s="2"/>
    </row>
    <row r="20" spans="1:18">
      <c r="A20" s="49" t="s">
        <v>174</v>
      </c>
      <c r="B20" s="54">
        <f>160/B19*1000</f>
        <v>354.86114357972986</v>
      </c>
      <c r="C20" s="43" t="s">
        <v>160</v>
      </c>
      <c r="D20" s="43"/>
      <c r="E20" s="43"/>
      <c r="F20" s="43"/>
      <c r="G20" s="43"/>
      <c r="H20" s="43"/>
      <c r="I20" s="43"/>
      <c r="J20" s="43"/>
      <c r="K20" s="2"/>
      <c r="L20" s="2"/>
      <c r="M20" s="2"/>
      <c r="N20" s="2"/>
      <c r="O20" s="2"/>
      <c r="P20" s="2"/>
      <c r="Q20" s="2"/>
      <c r="R20" s="2"/>
    </row>
    <row r="21" spans="1:18">
      <c r="A21" s="56" t="s">
        <v>195</v>
      </c>
      <c r="B21" s="54">
        <v>0.80839440562595177</v>
      </c>
      <c r="C21" s="43" t="s">
        <v>107</v>
      </c>
      <c r="D21" s="43"/>
      <c r="E21" s="43"/>
      <c r="F21" s="43"/>
      <c r="G21" s="43"/>
      <c r="H21" s="43"/>
      <c r="I21" s="43"/>
      <c r="J21" s="43"/>
      <c r="K21" s="2"/>
      <c r="L21" s="2"/>
      <c r="M21" s="2"/>
      <c r="N21" s="2"/>
      <c r="O21" s="2"/>
      <c r="P21" s="2"/>
      <c r="Q21" s="2"/>
      <c r="R21" s="2"/>
    </row>
    <row r="22" spans="1:18">
      <c r="A22" s="56" t="s">
        <v>196</v>
      </c>
      <c r="B22" s="54">
        <v>7.000900915492962</v>
      </c>
      <c r="C22" s="43" t="s">
        <v>107</v>
      </c>
      <c r="D22" s="43"/>
      <c r="E22" s="43"/>
      <c r="F22" s="43"/>
      <c r="G22" s="43"/>
      <c r="H22" s="43"/>
      <c r="I22" s="43"/>
      <c r="J22" s="43"/>
      <c r="K22" s="2"/>
      <c r="L22" s="2"/>
      <c r="M22" s="2"/>
      <c r="N22" s="2"/>
      <c r="O22" s="2"/>
      <c r="P22" s="2"/>
      <c r="Q22" s="2"/>
      <c r="R22" s="2"/>
    </row>
    <row r="23" spans="1:18">
      <c r="B23" s="43"/>
      <c r="C23" s="43"/>
      <c r="D23" s="43"/>
      <c r="E23" s="43"/>
      <c r="F23" s="43"/>
      <c r="G23" s="43"/>
      <c r="H23" s="43"/>
      <c r="I23" s="43"/>
      <c r="J23" s="43"/>
    </row>
    <row r="24" spans="1:18">
      <c r="B24" s="43"/>
      <c r="C24" s="43"/>
      <c r="D24" s="43"/>
      <c r="E24" s="43"/>
      <c r="F24" s="43"/>
      <c r="G24" s="43"/>
      <c r="H24" s="43"/>
      <c r="I24" s="43"/>
      <c r="J24" s="43"/>
    </row>
    <row r="25" spans="1:18" s="48" customFormat="1">
      <c r="B25" s="80" t="s">
        <v>161</v>
      </c>
      <c r="C25" s="80" t="s">
        <v>3</v>
      </c>
      <c r="D25" s="80" t="s">
        <v>162</v>
      </c>
      <c r="E25" s="80" t="s">
        <v>167</v>
      </c>
      <c r="F25" s="80" t="s">
        <v>168</v>
      </c>
      <c r="G25" s="80" t="s">
        <v>169</v>
      </c>
      <c r="H25" s="80" t="s">
        <v>164</v>
      </c>
      <c r="I25" s="80" t="s">
        <v>170</v>
      </c>
      <c r="J25" s="80" t="s">
        <v>11</v>
      </c>
    </row>
    <row r="26" spans="1:18">
      <c r="B26" s="81">
        <v>3.2</v>
      </c>
      <c r="C26" s="81">
        <v>1</v>
      </c>
      <c r="D26" s="81">
        <v>4</v>
      </c>
      <c r="E26" s="81">
        <v>8</v>
      </c>
      <c r="F26" s="81">
        <v>16.666666666666664</v>
      </c>
      <c r="G26" s="81">
        <v>0.78539749999999997</v>
      </c>
      <c r="H26" s="81">
        <v>39.2895441977414</v>
      </c>
      <c r="I26" s="81">
        <v>25.452064166666663</v>
      </c>
      <c r="J26" s="82">
        <v>138.29919557604973</v>
      </c>
    </row>
    <row r="27" spans="1:18">
      <c r="B27" s="81">
        <v>3.1840000000000002</v>
      </c>
      <c r="C27" s="81">
        <v>1</v>
      </c>
      <c r="D27" s="81">
        <v>3.98</v>
      </c>
      <c r="E27" s="81">
        <v>7.96</v>
      </c>
      <c r="F27" s="81">
        <v>16.583333333333336</v>
      </c>
      <c r="G27" s="81">
        <v>0.78539749999999997</v>
      </c>
      <c r="H27" s="81">
        <v>39.480856999118622</v>
      </c>
      <c r="I27" s="81">
        <v>25.328730833333335</v>
      </c>
      <c r="J27" s="81">
        <v>137.58636478594451</v>
      </c>
    </row>
    <row r="28" spans="1:18">
      <c r="B28" s="81">
        <v>3.1680000000000001</v>
      </c>
      <c r="C28" s="81">
        <v>1</v>
      </c>
      <c r="D28" s="81">
        <v>3.96</v>
      </c>
      <c r="E28" s="81">
        <v>7.92</v>
      </c>
      <c r="F28" s="81">
        <v>16.5</v>
      </c>
      <c r="G28" s="81">
        <v>0.78539749999999997</v>
      </c>
      <c r="H28" s="81">
        <v>39.674042038019827</v>
      </c>
      <c r="I28" s="81">
        <v>25.2053975</v>
      </c>
      <c r="J28" s="81">
        <v>136.8735406771506</v>
      </c>
    </row>
    <row r="29" spans="1:18">
      <c r="B29" s="81">
        <v>3.1520000000000001</v>
      </c>
      <c r="C29" s="81">
        <v>1</v>
      </c>
      <c r="D29" s="81">
        <v>3.94</v>
      </c>
      <c r="E29" s="81">
        <v>7.88</v>
      </c>
      <c r="F29" s="81">
        <v>16.416666666666664</v>
      </c>
      <c r="G29" s="81">
        <v>0.78539749999999997</v>
      </c>
      <c r="H29" s="81">
        <v>39.869126932900961</v>
      </c>
      <c r="I29" s="81">
        <v>25.082064166666662</v>
      </c>
      <c r="J29" s="81">
        <v>136.16072334822792</v>
      </c>
    </row>
    <row r="30" spans="1:18">
      <c r="B30" s="81">
        <v>3.1360000000000001</v>
      </c>
      <c r="C30" s="81">
        <v>1</v>
      </c>
      <c r="D30" s="81">
        <v>3.92</v>
      </c>
      <c r="E30" s="81">
        <v>7.84</v>
      </c>
      <c r="F30" s="81">
        <v>16.333333333333336</v>
      </c>
      <c r="G30" s="81">
        <v>0.78539749999999997</v>
      </c>
      <c r="H30" s="81">
        <v>40.066139848123285</v>
      </c>
      <c r="I30" s="81">
        <v>24.958730833333334</v>
      </c>
      <c r="J30" s="81">
        <v>135.44791289968435</v>
      </c>
    </row>
    <row r="31" spans="1:18">
      <c r="B31" s="81">
        <v>3.12</v>
      </c>
      <c r="C31" s="81">
        <v>1</v>
      </c>
      <c r="D31" s="81">
        <v>3.9000000000000004</v>
      </c>
      <c r="E31" s="81">
        <v>7.8000000000000007</v>
      </c>
      <c r="F31" s="81">
        <v>16.250000000000004</v>
      </c>
      <c r="G31" s="81">
        <v>0.78539749999999997</v>
      </c>
      <c r="H31" s="81">
        <v>40.265109507508384</v>
      </c>
      <c r="I31" s="81">
        <v>24.835397500000003</v>
      </c>
      <c r="J31" s="81">
        <v>134.73510943402459</v>
      </c>
    </row>
    <row r="32" spans="1:18">
      <c r="B32" s="81">
        <v>3.1040000000000001</v>
      </c>
      <c r="C32" s="81">
        <v>1</v>
      </c>
      <c r="D32" s="81">
        <v>3.8800000000000003</v>
      </c>
      <c r="E32" s="81">
        <v>7.7600000000000007</v>
      </c>
      <c r="F32" s="81">
        <v>16.166666666666668</v>
      </c>
      <c r="G32" s="81">
        <v>0.78539749999999997</v>
      </c>
      <c r="H32" s="81">
        <v>40.4660652082989</v>
      </c>
      <c r="I32" s="81">
        <v>24.712064166666668</v>
      </c>
      <c r="J32" s="81">
        <v>134.02231305579934</v>
      </c>
    </row>
    <row r="33" spans="2:10">
      <c r="B33" s="81">
        <v>3.0880000000000001</v>
      </c>
      <c r="C33" s="81">
        <v>1</v>
      </c>
      <c r="D33" s="81">
        <v>3.8600000000000003</v>
      </c>
      <c r="E33" s="81">
        <v>7.7200000000000006</v>
      </c>
      <c r="F33" s="81">
        <v>16.083333333333336</v>
      </c>
      <c r="G33" s="81">
        <v>0.78539749999999997</v>
      </c>
      <c r="H33" s="81">
        <v>40.669036835539529</v>
      </c>
      <c r="I33" s="81">
        <v>24.588730833333333</v>
      </c>
      <c r="J33" s="81">
        <v>133.30952387165706</v>
      </c>
    </row>
    <row r="34" spans="2:10">
      <c r="B34" s="81">
        <v>3.0720000000000001</v>
      </c>
      <c r="C34" s="81">
        <v>1</v>
      </c>
      <c r="D34" s="81">
        <v>3.8400000000000003</v>
      </c>
      <c r="E34" s="81">
        <v>7.6800000000000006</v>
      </c>
      <c r="F34" s="81">
        <v>16.000000000000004</v>
      </c>
      <c r="G34" s="81">
        <v>0.78539749999999997</v>
      </c>
      <c r="H34" s="81">
        <v>40.874054876892963</v>
      </c>
      <c r="I34" s="81">
        <v>24.465397500000002</v>
      </c>
      <c r="J34" s="81">
        <v>132.59674199039688</v>
      </c>
    </row>
    <row r="35" spans="2:10">
      <c r="B35" s="81">
        <v>3.056</v>
      </c>
      <c r="C35" s="81">
        <v>1</v>
      </c>
      <c r="D35" s="81">
        <v>3.82</v>
      </c>
      <c r="E35" s="81">
        <v>7.64</v>
      </c>
      <c r="F35" s="81">
        <v>15.916666666666666</v>
      </c>
      <c r="G35" s="81">
        <v>0.78539749999999997</v>
      </c>
      <c r="H35" s="81">
        <v>41.081150437906246</v>
      </c>
      <c r="I35" s="81">
        <v>24.342064166666663</v>
      </c>
      <c r="J35" s="81">
        <v>131.8839675230227</v>
      </c>
    </row>
    <row r="36" spans="2:10">
      <c r="B36" s="81">
        <v>3.04</v>
      </c>
      <c r="C36" s="81">
        <v>1</v>
      </c>
      <c r="D36" s="81">
        <v>3.8</v>
      </c>
      <c r="E36" s="81">
        <v>7.6</v>
      </c>
      <c r="F36" s="81">
        <v>15.833333333333334</v>
      </c>
      <c r="G36" s="81">
        <v>0.78539749999999997</v>
      </c>
      <c r="H36" s="81">
        <v>41.290355257743514</v>
      </c>
      <c r="I36" s="81">
        <v>24.218730833333332</v>
      </c>
      <c r="J36" s="81">
        <v>131.17120058279963</v>
      </c>
    </row>
    <row r="37" spans="2:10">
      <c r="B37" s="81">
        <v>3.024</v>
      </c>
      <c r="C37" s="81">
        <v>1</v>
      </c>
      <c r="D37" s="81">
        <v>3.78</v>
      </c>
      <c r="E37" s="81">
        <v>7.56</v>
      </c>
      <c r="F37" s="81">
        <v>15.75</v>
      </c>
      <c r="G37" s="81">
        <v>0.78539749999999997</v>
      </c>
      <c r="H37" s="81">
        <v>41.501701725402128</v>
      </c>
      <c r="I37" s="81">
        <v>24.095397499999997</v>
      </c>
      <c r="J37" s="81">
        <v>130.45844128531186</v>
      </c>
    </row>
    <row r="38" spans="2:10">
      <c r="B38" s="81">
        <v>3.008</v>
      </c>
      <c r="C38" s="81">
        <v>1</v>
      </c>
      <c r="D38" s="81">
        <v>3.76</v>
      </c>
      <c r="E38" s="81">
        <v>7.52</v>
      </c>
      <c r="F38" s="81">
        <v>15.666666666666666</v>
      </c>
      <c r="G38" s="81">
        <v>0.78539749999999997</v>
      </c>
      <c r="H38" s="81">
        <v>41.715222896429069</v>
      </c>
      <c r="I38" s="81">
        <v>23.972064166666666</v>
      </c>
      <c r="J38" s="81">
        <v>129.74568974852224</v>
      </c>
    </row>
    <row r="39" spans="2:10">
      <c r="B39" s="81">
        <v>2.992</v>
      </c>
      <c r="C39" s="81">
        <v>1</v>
      </c>
      <c r="D39" s="81">
        <v>3.7399999999999998</v>
      </c>
      <c r="E39" s="81">
        <v>7.4799999999999986</v>
      </c>
      <c r="F39" s="81">
        <v>15.583333333333332</v>
      </c>
      <c r="G39" s="81">
        <v>0.78539749999999997</v>
      </c>
      <c r="H39" s="81">
        <v>41.930952510156295</v>
      </c>
      <c r="I39" s="81">
        <v>23.848730833333331</v>
      </c>
      <c r="J39" s="81">
        <v>129.0329460928337</v>
      </c>
    </row>
    <row r="40" spans="2:10">
      <c r="B40" s="81">
        <v>2.976</v>
      </c>
      <c r="C40" s="81">
        <v>1</v>
      </c>
      <c r="D40" s="81">
        <v>3.7199999999999998</v>
      </c>
      <c r="E40" s="81">
        <v>7.4399999999999995</v>
      </c>
      <c r="F40" s="81">
        <v>15.499999999999996</v>
      </c>
      <c r="G40" s="81">
        <v>0.78539749999999997</v>
      </c>
      <c r="H40" s="81">
        <v>42.148925007473537</v>
      </c>
      <c r="I40" s="81">
        <v>23.725397499999996</v>
      </c>
      <c r="J40" s="81">
        <v>128.32021044115277</v>
      </c>
    </row>
    <row r="41" spans="2:10">
      <c r="B41" s="81">
        <v>2.96</v>
      </c>
      <c r="C41" s="81">
        <v>1</v>
      </c>
      <c r="D41" s="81">
        <v>3.7</v>
      </c>
      <c r="E41" s="81">
        <v>7.4</v>
      </c>
      <c r="F41" s="81">
        <v>15.416666666666666</v>
      </c>
      <c r="G41" s="81">
        <v>0.78539749999999997</v>
      </c>
      <c r="H41" s="81">
        <v>42.369175549158356</v>
      </c>
      <c r="I41" s="81">
        <v>23.602064166666665</v>
      </c>
      <c r="J41" s="81">
        <v>127.60748291895517</v>
      </c>
    </row>
    <row r="42" spans="2:10">
      <c r="B42" s="81">
        <v>2.944</v>
      </c>
      <c r="C42" s="81">
        <v>1</v>
      </c>
      <c r="D42" s="81">
        <v>3.68</v>
      </c>
      <c r="E42" s="81">
        <v>7.36</v>
      </c>
      <c r="F42" s="81">
        <v>15.333333333333334</v>
      </c>
      <c r="G42" s="81">
        <v>0.78539749999999997</v>
      </c>
      <c r="H42" s="81">
        <v>42.59174003478396</v>
      </c>
      <c r="I42" s="81">
        <v>23.478730833333334</v>
      </c>
      <c r="J42" s="81">
        <v>126.89476365435284</v>
      </c>
    </row>
    <row r="43" spans="2:10">
      <c r="B43" s="81">
        <v>2.9279999999999999</v>
      </c>
      <c r="C43" s="81">
        <v>1</v>
      </c>
      <c r="D43" s="81">
        <v>3.66</v>
      </c>
      <c r="E43" s="81">
        <v>7.32</v>
      </c>
      <c r="F43" s="81">
        <v>15.25</v>
      </c>
      <c r="G43" s="81">
        <v>0.78539749999999997</v>
      </c>
      <c r="H43" s="81">
        <v>42.816655122226031</v>
      </c>
      <c r="I43" s="81">
        <v>23.355397499999999</v>
      </c>
      <c r="J43" s="81">
        <v>126.18205277816405</v>
      </c>
    </row>
    <row r="44" spans="2:10">
      <c r="B44" s="81">
        <v>2.9119999999999999</v>
      </c>
      <c r="C44" s="81">
        <v>1</v>
      </c>
      <c r="D44" s="81">
        <v>3.64</v>
      </c>
      <c r="E44" s="81">
        <v>7.28</v>
      </c>
      <c r="F44" s="81">
        <v>15.166666666666666</v>
      </c>
      <c r="G44" s="81">
        <v>0.78539749999999997</v>
      </c>
      <c r="H44" s="81">
        <v>43.043958247790947</v>
      </c>
      <c r="I44" s="81">
        <v>23.232064166666664</v>
      </c>
      <c r="J44" s="81">
        <v>125.46935042398482</v>
      </c>
    </row>
    <row r="45" spans="2:10">
      <c r="B45" s="81">
        <v>2.8959999999999999</v>
      </c>
      <c r="C45" s="81">
        <v>1</v>
      </c>
      <c r="D45" s="81">
        <v>3.62</v>
      </c>
      <c r="E45" s="81">
        <v>7.24</v>
      </c>
      <c r="F45" s="81">
        <v>15.083333333333334</v>
      </c>
      <c r="G45" s="81">
        <v>0.78539749999999997</v>
      </c>
      <c r="H45" s="81">
        <v>43.273687646988542</v>
      </c>
      <c r="I45" s="81">
        <v>23.108730833333333</v>
      </c>
      <c r="J45" s="81">
        <v>124.75665672826327</v>
      </c>
    </row>
    <row r="46" spans="2:10">
      <c r="B46" s="81">
        <v>2.88</v>
      </c>
      <c r="C46" s="81">
        <v>1</v>
      </c>
      <c r="D46" s="81">
        <v>3.6</v>
      </c>
      <c r="E46" s="81">
        <v>7.2</v>
      </c>
      <c r="F46" s="81">
        <v>15</v>
      </c>
      <c r="G46" s="81">
        <v>0.78539749999999997</v>
      </c>
      <c r="H46" s="81">
        <v>43.505882375973705</v>
      </c>
      <c r="I46" s="81">
        <v>22.985397499999998</v>
      </c>
      <c r="J46" s="81">
        <v>124.04397183037624</v>
      </c>
    </row>
    <row r="47" spans="2:10">
      <c r="B47" s="81">
        <v>2.8639999999999999</v>
      </c>
      <c r="C47" s="81">
        <v>1</v>
      </c>
      <c r="D47" s="81">
        <v>3.58</v>
      </c>
      <c r="E47" s="81">
        <v>7.16</v>
      </c>
      <c r="F47" s="81">
        <v>14.916666666666666</v>
      </c>
      <c r="G47" s="81">
        <v>0.78539749999999997</v>
      </c>
      <c r="H47" s="81">
        <v>43.740582333681814</v>
      </c>
      <c r="I47" s="81">
        <v>22.862064166666666</v>
      </c>
      <c r="J47" s="81">
        <v>123.33129587270791</v>
      </c>
    </row>
    <row r="48" spans="2:10">
      <c r="B48" s="81">
        <v>2.8479999999999999</v>
      </c>
      <c r="C48" s="81">
        <v>1</v>
      </c>
      <c r="D48" s="81">
        <v>3.5599999999999996</v>
      </c>
      <c r="E48" s="81">
        <v>7.1199999999999992</v>
      </c>
      <c r="F48" s="81">
        <v>14.833333333333332</v>
      </c>
      <c r="G48" s="81">
        <v>0.78539749999999997</v>
      </c>
      <c r="H48" s="81">
        <v>43.977828284684762</v>
      </c>
      <c r="I48" s="81">
        <v>22.738730833333332</v>
      </c>
      <c r="J48" s="81">
        <v>122.61862900073176</v>
      </c>
    </row>
    <row r="49" spans="2:10">
      <c r="B49" s="81">
        <v>2.8319999999999999</v>
      </c>
      <c r="C49" s="81">
        <v>1</v>
      </c>
      <c r="D49" s="81">
        <v>3.5399999999999996</v>
      </c>
      <c r="E49" s="81">
        <v>7.0799999999999992</v>
      </c>
      <c r="F49" s="81">
        <v>14.749999999999996</v>
      </c>
      <c r="G49" s="81">
        <v>0.78539749999999997</v>
      </c>
      <c r="H49" s="81">
        <v>44.217661882794687</v>
      </c>
      <c r="I49" s="81">
        <v>22.615397499999993</v>
      </c>
      <c r="J49" s="81">
        <v>121.90597136309455</v>
      </c>
    </row>
    <row r="50" spans="2:10">
      <c r="B50" s="81">
        <v>2.8159999999999998</v>
      </c>
      <c r="C50" s="81">
        <v>1</v>
      </c>
      <c r="D50" s="81">
        <v>3.5199999999999996</v>
      </c>
      <c r="E50" s="81">
        <v>7.0399999999999991</v>
      </c>
      <c r="F50" s="81">
        <v>14.666666666666663</v>
      </c>
      <c r="G50" s="81">
        <v>0.78539749999999997</v>
      </c>
      <c r="H50" s="81">
        <v>44.460125695444368</v>
      </c>
      <c r="I50" s="81">
        <v>22.492064166666662</v>
      </c>
      <c r="J50" s="81">
        <v>121.19332311170345</v>
      </c>
    </row>
    <row r="51" spans="2:10">
      <c r="B51" s="81">
        <v>2.8</v>
      </c>
      <c r="C51" s="81">
        <v>1</v>
      </c>
      <c r="D51" s="81">
        <v>3.4999999999999996</v>
      </c>
      <c r="E51" s="81">
        <v>6.9999999999999991</v>
      </c>
      <c r="F51" s="81">
        <v>14.583333333333332</v>
      </c>
      <c r="G51" s="81">
        <v>0.78539749999999997</v>
      </c>
      <c r="H51" s="81">
        <v>44.705263228874152</v>
      </c>
      <c r="I51" s="81">
        <v>22.368730833333331</v>
      </c>
      <c r="J51" s="81">
        <v>120.48068440181582</v>
      </c>
    </row>
    <row r="52" spans="2:10">
      <c r="B52" s="81">
        <v>2.7839999999999998</v>
      </c>
      <c r="C52" s="81">
        <v>1</v>
      </c>
      <c r="D52" s="81">
        <v>3.4799999999999995</v>
      </c>
      <c r="E52" s="81">
        <v>6.9599999999999991</v>
      </c>
      <c r="F52" s="81">
        <v>14.499999999999996</v>
      </c>
      <c r="G52" s="81">
        <v>0.78539749999999997</v>
      </c>
      <c r="H52" s="81">
        <v>44.953118954156714</v>
      </c>
      <c r="I52" s="81">
        <v>22.245397499999992</v>
      </c>
      <c r="J52" s="81">
        <v>119.76805539213224</v>
      </c>
    </row>
    <row r="53" spans="2:10">
      <c r="B53" s="81">
        <v>2.7679999999999998</v>
      </c>
      <c r="C53" s="81">
        <v>1</v>
      </c>
      <c r="D53" s="81">
        <v>3.4599999999999995</v>
      </c>
      <c r="E53" s="81">
        <v>6.919999999999999</v>
      </c>
      <c r="F53" s="81">
        <v>14.416666666666663</v>
      </c>
      <c r="G53" s="81">
        <v>0.78539749999999997</v>
      </c>
      <c r="H53" s="81">
        <v>45.203738334092328</v>
      </c>
      <c r="I53" s="81">
        <v>22.122064166666661</v>
      </c>
      <c r="J53" s="81">
        <v>119.05543624489231</v>
      </c>
    </row>
    <row r="54" spans="2:10">
      <c r="B54" s="81">
        <v>2.7519999999999998</v>
      </c>
      <c r="C54" s="81">
        <v>1</v>
      </c>
      <c r="D54" s="81">
        <v>3.44</v>
      </c>
      <c r="E54" s="81">
        <v>6.88</v>
      </c>
      <c r="F54" s="81">
        <v>14.333333333333334</v>
      </c>
      <c r="G54" s="81">
        <v>0.78539749999999997</v>
      </c>
      <c r="H54" s="81">
        <v>45.457167851008975</v>
      </c>
      <c r="I54" s="81">
        <v>21.998730833333333</v>
      </c>
      <c r="J54" s="81">
        <v>118.34282712597394</v>
      </c>
    </row>
    <row r="55" spans="2:10">
      <c r="B55" s="81">
        <v>2.7359999999999998</v>
      </c>
      <c r="C55" s="81">
        <v>1</v>
      </c>
      <c r="D55" s="81">
        <v>3.42</v>
      </c>
      <c r="E55" s="81">
        <v>6.84</v>
      </c>
      <c r="F55" s="81">
        <v>14.25</v>
      </c>
      <c r="G55" s="81">
        <v>0.78539749999999997</v>
      </c>
      <c r="H55" s="81">
        <v>45.71345503550279</v>
      </c>
      <c r="I55" s="81">
        <v>21.875397499999998</v>
      </c>
      <c r="J55" s="81">
        <v>117.63022820499607</v>
      </c>
    </row>
    <row r="56" spans="2:10">
      <c r="B56" s="81">
        <v>2.7199999999999998</v>
      </c>
      <c r="C56" s="81">
        <v>1</v>
      </c>
      <c r="D56" s="81">
        <v>3.4</v>
      </c>
      <c r="E56" s="81">
        <v>6.8</v>
      </c>
      <c r="F56" s="81">
        <v>14.166666666666666</v>
      </c>
      <c r="G56" s="81">
        <v>0.78539749999999997</v>
      </c>
      <c r="H56" s="81">
        <v>45.972648496156133</v>
      </c>
      <c r="I56" s="81">
        <v>21.752064166666663</v>
      </c>
      <c r="J56" s="81">
        <v>116.91763965542427</v>
      </c>
    </row>
    <row r="57" spans="2:10">
      <c r="B57" s="81">
        <v>2.7039999999999997</v>
      </c>
      <c r="C57" s="81">
        <v>1</v>
      </c>
      <c r="D57" s="81">
        <v>3.38</v>
      </c>
      <c r="E57" s="81">
        <v>6.76</v>
      </c>
      <c r="F57" s="81">
        <v>14.083333333333334</v>
      </c>
      <c r="G57" s="81">
        <v>0.78539749999999997</v>
      </c>
      <c r="H57" s="81">
        <v>46.2347979502727</v>
      </c>
      <c r="I57" s="81">
        <v>21.628730833333332</v>
      </c>
      <c r="J57" s="81">
        <v>116.20506165468097</v>
      </c>
    </row>
    <row r="58" spans="2:10">
      <c r="B58" s="81">
        <v>2.6879999999999997</v>
      </c>
      <c r="C58" s="81">
        <v>1</v>
      </c>
      <c r="D58" s="81">
        <v>3.36</v>
      </c>
      <c r="E58" s="81">
        <v>6.72</v>
      </c>
      <c r="F58" s="81">
        <v>14</v>
      </c>
      <c r="G58" s="81">
        <v>0.78539749999999997</v>
      </c>
      <c r="H58" s="81">
        <v>46.499954255670012</v>
      </c>
      <c r="I58" s="81">
        <v>21.505397499999997</v>
      </c>
      <c r="J58" s="81">
        <v>115.49249438425868</v>
      </c>
    </row>
    <row r="59" spans="2:10">
      <c r="B59" s="81">
        <v>2.6719999999999997</v>
      </c>
      <c r="C59" s="81">
        <v>1</v>
      </c>
      <c r="D59" s="81">
        <v>3.34</v>
      </c>
      <c r="E59" s="81">
        <v>6.68</v>
      </c>
      <c r="F59" s="81">
        <v>13.916666666666666</v>
      </c>
      <c r="G59" s="81">
        <v>0.78539749999999997</v>
      </c>
      <c r="H59" s="81">
        <v>46.768169443572205</v>
      </c>
      <c r="I59" s="81">
        <v>21.382064166666662</v>
      </c>
      <c r="J59" s="81">
        <v>114.77993802983711</v>
      </c>
    </row>
    <row r="60" spans="2:10">
      <c r="B60" s="81">
        <v>2.6559999999999997</v>
      </c>
      <c r="C60" s="81">
        <v>1</v>
      </c>
      <c r="D60" s="81">
        <v>3.3199999999999994</v>
      </c>
      <c r="E60" s="81">
        <v>6.6399999999999988</v>
      </c>
      <c r="F60" s="81">
        <v>13.833333333333332</v>
      </c>
      <c r="G60" s="81">
        <v>0.78539749999999997</v>
      </c>
      <c r="H60" s="81">
        <v>47.039496752647949</v>
      </c>
      <c r="I60" s="81">
        <v>21.258730833333328</v>
      </c>
      <c r="J60" s="81">
        <v>114.06739278140505</v>
      </c>
    </row>
    <row r="61" spans="2:10">
      <c r="B61" s="81">
        <v>2.6399999999999997</v>
      </c>
      <c r="C61" s="81">
        <v>1</v>
      </c>
      <c r="D61" s="81">
        <v>3.2999999999999994</v>
      </c>
      <c r="E61" s="81">
        <v>6.5999999999999988</v>
      </c>
      <c r="F61" s="81">
        <v>13.749999999999996</v>
      </c>
      <c r="G61" s="81">
        <v>0.78539749999999997</v>
      </c>
      <c r="H61" s="81">
        <v>47.313990664239945</v>
      </c>
      <c r="I61" s="81">
        <v>21.135397499999993</v>
      </c>
      <c r="J61" s="81">
        <v>113.35485883338602</v>
      </c>
    </row>
    <row r="62" spans="2:10">
      <c r="B62" s="81">
        <v>2.6239999999999997</v>
      </c>
      <c r="C62" s="81">
        <v>1</v>
      </c>
      <c r="D62" s="81">
        <v>3.2799999999999994</v>
      </c>
      <c r="E62" s="81">
        <v>6.5599999999999987</v>
      </c>
      <c r="F62" s="81">
        <v>13.666666666666663</v>
      </c>
      <c r="G62" s="81">
        <v>0.78539749999999997</v>
      </c>
      <c r="H62" s="81">
        <v>47.591706938835195</v>
      </c>
      <c r="I62" s="81">
        <v>21.012064166666658</v>
      </c>
      <c r="J62" s="81">
        <v>112.64233638476819</v>
      </c>
    </row>
    <row r="63" spans="2:10">
      <c r="B63" s="81">
        <v>2.6079999999999997</v>
      </c>
      <c r="C63" s="81">
        <v>1</v>
      </c>
      <c r="D63" s="81">
        <v>3.2599999999999993</v>
      </c>
      <c r="E63" s="81">
        <v>6.5199999999999987</v>
      </c>
      <c r="F63" s="81">
        <v>13.583333333333332</v>
      </c>
      <c r="G63" s="81">
        <v>0.78539749999999997</v>
      </c>
      <c r="H63" s="81">
        <v>47.872702653827268</v>
      </c>
      <c r="I63" s="81">
        <v>20.88873083333333</v>
      </c>
      <c r="J63" s="81">
        <v>111.92982563923918</v>
      </c>
    </row>
    <row r="64" spans="2:10">
      <c r="B64" s="81">
        <v>2.5919999999999996</v>
      </c>
      <c r="C64" s="81">
        <v>1</v>
      </c>
      <c r="D64" s="81">
        <v>3.2399999999999993</v>
      </c>
      <c r="E64" s="81">
        <v>6.4799999999999986</v>
      </c>
      <c r="F64" s="81">
        <v>13.499999999999996</v>
      </c>
      <c r="G64" s="81">
        <v>0.78539749999999997</v>
      </c>
      <c r="H64" s="81">
        <v>48.157036242624308</v>
      </c>
      <c r="I64" s="81">
        <v>20.765397499999995</v>
      </c>
      <c r="J64" s="81">
        <v>111.217326805326</v>
      </c>
    </row>
    <row r="65" spans="2:10">
      <c r="B65" s="81">
        <v>2.5759999999999996</v>
      </c>
      <c r="C65" s="81">
        <v>1</v>
      </c>
      <c r="D65" s="81">
        <v>3.2199999999999993</v>
      </c>
      <c r="E65" s="81">
        <v>6.4399999999999986</v>
      </c>
      <c r="F65" s="81">
        <v>13.416666666666663</v>
      </c>
      <c r="G65" s="81">
        <v>0.78539749999999997</v>
      </c>
      <c r="H65" s="81">
        <v>48.444767535158903</v>
      </c>
      <c r="I65" s="81">
        <v>20.64206416666666</v>
      </c>
      <c r="J65" s="81">
        <v>110.5048400965391</v>
      </c>
    </row>
    <row r="66" spans="2:10">
      <c r="B66" s="81">
        <v>2.5599999999999996</v>
      </c>
      <c r="C66" s="81">
        <v>1</v>
      </c>
      <c r="D66" s="81">
        <v>3.1999999999999997</v>
      </c>
      <c r="E66" s="81">
        <v>6.3999999999999995</v>
      </c>
      <c r="F66" s="81">
        <v>13.333333333333332</v>
      </c>
      <c r="G66" s="81">
        <v>0.78539749999999997</v>
      </c>
      <c r="H66" s="81">
        <v>48.735957799859058</v>
      </c>
      <c r="I66" s="81">
        <v>20.518730833333329</v>
      </c>
      <c r="J66" s="81">
        <v>109.79236573152248</v>
      </c>
    </row>
    <row r="67" spans="2:10">
      <c r="B67" s="81">
        <v>2.5439999999999996</v>
      </c>
      <c r="C67" s="81">
        <v>1</v>
      </c>
      <c r="D67" s="81">
        <v>3.1799999999999997</v>
      </c>
      <c r="E67" s="81">
        <v>6.3599999999999994</v>
      </c>
      <c r="F67" s="81">
        <v>13.249999999999996</v>
      </c>
      <c r="G67" s="81">
        <v>0.78539749999999997</v>
      </c>
      <c r="H67" s="81">
        <v>49.030669787141939</v>
      </c>
      <c r="I67" s="81">
        <v>20.395397499999994</v>
      </c>
      <c r="J67" s="81">
        <v>109.07990393420869</v>
      </c>
    </row>
    <row r="68" spans="2:10">
      <c r="B68" s="81">
        <v>2.5279999999999996</v>
      </c>
      <c r="C68" s="81">
        <v>1</v>
      </c>
      <c r="D68" s="81">
        <v>3.1599999999999997</v>
      </c>
      <c r="E68" s="81">
        <v>6.3199999999999994</v>
      </c>
      <c r="F68" s="81">
        <v>13.166666666666663</v>
      </c>
      <c r="G68" s="81">
        <v>0.78539749999999997</v>
      </c>
      <c r="H68" s="81">
        <v>49.328967774495275</v>
      </c>
      <c r="I68" s="81">
        <v>20.272064166666659</v>
      </c>
      <c r="J68" s="81">
        <v>108.36745493398</v>
      </c>
    </row>
    <row r="69" spans="2:10">
      <c r="B69" s="81">
        <v>2.5119999999999996</v>
      </c>
      <c r="C69" s="81">
        <v>1</v>
      </c>
      <c r="D69" s="81">
        <v>3.1399999999999997</v>
      </c>
      <c r="E69" s="81">
        <v>6.2799999999999994</v>
      </c>
      <c r="F69" s="81">
        <v>13.083333333333332</v>
      </c>
      <c r="G69" s="81">
        <v>0.78539749999999997</v>
      </c>
      <c r="H69" s="81">
        <v>49.630917613214443</v>
      </c>
      <c r="I69" s="81">
        <v>20.148730833333328</v>
      </c>
      <c r="J69" s="81">
        <v>107.6550189658348</v>
      </c>
    </row>
    <row r="70" spans="2:10">
      <c r="B70" s="81">
        <v>2.4959999999999996</v>
      </c>
      <c r="C70" s="81">
        <v>1</v>
      </c>
      <c r="D70" s="81">
        <v>3.1199999999999997</v>
      </c>
      <c r="E70" s="81">
        <v>6.2399999999999993</v>
      </c>
      <c r="F70" s="81">
        <v>12.999999999999996</v>
      </c>
      <c r="G70" s="81">
        <v>0.78539749999999997</v>
      </c>
      <c r="H70" s="81">
        <v>49.93658677686674</v>
      </c>
      <c r="I70" s="81">
        <v>20.025397499999993</v>
      </c>
      <c r="J70" s="81">
        <v>106.94259627056094</v>
      </c>
    </row>
    <row r="71" spans="2:10">
      <c r="B71" s="81">
        <v>2.4799999999999995</v>
      </c>
      <c r="C71" s="81">
        <v>1</v>
      </c>
      <c r="D71" s="81">
        <v>3.0999999999999996</v>
      </c>
      <c r="E71" s="81">
        <v>6.1999999999999993</v>
      </c>
      <c r="F71" s="81">
        <v>12.916666666666663</v>
      </c>
      <c r="G71" s="81">
        <v>0.78539749999999997</v>
      </c>
      <c r="H71" s="81">
        <v>50.246044411557499</v>
      </c>
      <c r="I71" s="81">
        <v>19.902064166666658</v>
      </c>
      <c r="J71" s="81">
        <v>106.23018709491487</v>
      </c>
    </row>
    <row r="72" spans="2:10">
      <c r="B72" s="81">
        <v>2.4639999999999995</v>
      </c>
      <c r="C72" s="81">
        <v>1</v>
      </c>
      <c r="D72" s="81">
        <v>3.0799999999999992</v>
      </c>
      <c r="E72" s="81">
        <v>6.1599999999999984</v>
      </c>
      <c r="F72" s="81">
        <v>12.833333333333329</v>
      </c>
      <c r="G72" s="81">
        <v>0.78539749999999997</v>
      </c>
      <c r="H72" s="81">
        <v>50.559361388076958</v>
      </c>
      <c r="I72" s="81">
        <v>19.778730833333324</v>
      </c>
      <c r="J72" s="81">
        <v>105.51779169180766</v>
      </c>
    </row>
    <row r="73" spans="2:10">
      <c r="B73" s="81">
        <v>2.4479999999999995</v>
      </c>
      <c r="C73" s="81">
        <v>1</v>
      </c>
      <c r="D73" s="81">
        <v>3.0599999999999992</v>
      </c>
      <c r="E73" s="81">
        <v>6.1199999999999983</v>
      </c>
      <c r="F73" s="81">
        <v>12.749999999999995</v>
      </c>
      <c r="G73" s="81">
        <v>0.78539749999999997</v>
      </c>
      <c r="H73" s="81">
        <v>50.876610356010367</v>
      </c>
      <c r="I73" s="81">
        <v>19.655397499999992</v>
      </c>
      <c r="J73" s="81">
        <v>104.80541032049847</v>
      </c>
    </row>
    <row r="74" spans="2:10">
      <c r="B74" s="81">
        <v>2.4319999999999995</v>
      </c>
      <c r="C74" s="81">
        <v>1</v>
      </c>
      <c r="D74" s="81">
        <v>3.0399999999999991</v>
      </c>
      <c r="E74" s="81">
        <v>6.0799999999999983</v>
      </c>
      <c r="F74" s="81">
        <v>12.666666666666661</v>
      </c>
      <c r="G74" s="81">
        <v>0.78539749999999997</v>
      </c>
      <c r="H74" s="81">
        <v>51.197865799898196</v>
      </c>
      <c r="I74" s="81">
        <v>19.532064166666657</v>
      </c>
      <c r="J74" s="81">
        <v>104.09304324679458</v>
      </c>
    </row>
    <row r="75" spans="2:10">
      <c r="B75" s="81">
        <v>2.4159999999999995</v>
      </c>
      <c r="C75" s="81">
        <v>1</v>
      </c>
      <c r="D75" s="81">
        <v>3.0199999999999991</v>
      </c>
      <c r="E75" s="81">
        <v>6.0399999999999983</v>
      </c>
      <c r="F75" s="81">
        <v>12.583333333333329</v>
      </c>
      <c r="G75" s="81">
        <v>0.78539749999999997</v>
      </c>
      <c r="H75" s="81">
        <v>51.523204097537395</v>
      </c>
      <c r="I75" s="81">
        <v>19.408730833333326</v>
      </c>
      <c r="J75" s="81">
        <v>103.38069074325955</v>
      </c>
    </row>
    <row r="76" spans="2:10">
      <c r="B76" s="81">
        <v>2.3999999999999995</v>
      </c>
      <c r="C76" s="81">
        <v>1</v>
      </c>
      <c r="D76" s="81">
        <v>2.9999999999999991</v>
      </c>
      <c r="E76" s="81">
        <v>5.9999999999999982</v>
      </c>
      <c r="F76" s="81">
        <v>12.499999999999995</v>
      </c>
      <c r="G76" s="81">
        <v>0.78539749999999997</v>
      </c>
      <c r="H76" s="81">
        <v>51.852703580519943</v>
      </c>
      <c r="I76" s="81">
        <v>19.285397499999991</v>
      </c>
      <c r="J76" s="81">
        <v>102.66835308942943</v>
      </c>
    </row>
    <row r="77" spans="2:10">
      <c r="B77" s="81">
        <v>2.3839999999999995</v>
      </c>
      <c r="C77" s="81">
        <v>1</v>
      </c>
      <c r="D77" s="81">
        <v>2.9799999999999991</v>
      </c>
      <c r="E77" s="81">
        <v>5.9599999999999982</v>
      </c>
      <c r="F77" s="81">
        <v>12.416666666666661</v>
      </c>
      <c r="G77" s="81">
        <v>0.78539749999999997</v>
      </c>
      <c r="H77" s="81">
        <v>52.186444597109151</v>
      </c>
      <c r="I77" s="81">
        <v>19.162064166666656</v>
      </c>
      <c r="J77" s="81">
        <v>101.95603057203692</v>
      </c>
    </row>
    <row r="78" spans="2:10">
      <c r="B78" s="81">
        <v>2.3679999999999994</v>
      </c>
      <c r="C78" s="81">
        <v>1</v>
      </c>
      <c r="D78" s="81">
        <v>2.9599999999999991</v>
      </c>
      <c r="E78" s="81">
        <v>5.9199999999999982</v>
      </c>
      <c r="F78" s="81">
        <v>12.333333333333329</v>
      </c>
      <c r="G78" s="81">
        <v>0.78539749999999997</v>
      </c>
      <c r="H78" s="81">
        <v>52.52450957755984</v>
      </c>
      <c r="I78" s="81">
        <v>19.038730833333325</v>
      </c>
      <c r="J78" s="81">
        <v>101.24372348524457</v>
      </c>
    </row>
    <row r="79" spans="2:10">
      <c r="B79" s="81">
        <v>2.3519999999999994</v>
      </c>
      <c r="C79" s="81">
        <v>1</v>
      </c>
      <c r="D79" s="81">
        <v>2.9399999999999995</v>
      </c>
      <c r="E79" s="81">
        <v>5.879999999999999</v>
      </c>
      <c r="F79" s="81">
        <v>12.249999999999996</v>
      </c>
      <c r="G79" s="81">
        <v>0.78539749999999997</v>
      </c>
      <c r="H79" s="81">
        <v>52.866983101994037</v>
      </c>
      <c r="I79" s="81">
        <v>18.915397499999994</v>
      </c>
      <c r="J79" s="81">
        <v>100.53143213088701</v>
      </c>
    </row>
    <row r="80" spans="2:10">
      <c r="B80" s="81">
        <v>2.3359999999999994</v>
      </c>
      <c r="C80" s="81">
        <v>1</v>
      </c>
      <c r="D80" s="81">
        <v>2.9199999999999995</v>
      </c>
      <c r="E80" s="81">
        <v>5.839999999999999</v>
      </c>
      <c r="F80" s="81">
        <v>12.166666666666664</v>
      </c>
      <c r="G80" s="81">
        <v>0.78539749999999997</v>
      </c>
      <c r="H80" s="81">
        <v>53.213951970949445</v>
      </c>
      <c r="I80" s="81">
        <v>18.792064166666663</v>
      </c>
      <c r="J80" s="81">
        <v>99.819156818722718</v>
      </c>
    </row>
    <row r="81" spans="2:10">
      <c r="B81" s="81">
        <v>2.3199999999999994</v>
      </c>
      <c r="C81" s="81">
        <v>1</v>
      </c>
      <c r="D81" s="81">
        <v>2.8999999999999995</v>
      </c>
      <c r="E81" s="81">
        <v>5.7999999999999989</v>
      </c>
      <c r="F81" s="81">
        <v>12.083333333333332</v>
      </c>
      <c r="G81" s="81">
        <v>0.78539749999999997</v>
      </c>
      <c r="H81" s="81">
        <v>53.565505278724324</v>
      </c>
      <c r="I81" s="81">
        <v>18.668730833333331</v>
      </c>
      <c r="J81" s="81">
        <v>99.106897866695718</v>
      </c>
    </row>
    <row r="82" spans="2:10">
      <c r="B82" s="81">
        <v>2.3039999999999994</v>
      </c>
      <c r="C82" s="81">
        <v>1</v>
      </c>
      <c r="D82" s="81">
        <v>2.8799999999999994</v>
      </c>
      <c r="E82" s="81">
        <v>5.7599999999999989</v>
      </c>
      <c r="F82" s="81">
        <v>11.999999999999996</v>
      </c>
      <c r="G82" s="81">
        <v>0.78539749999999997</v>
      </c>
      <c r="H82" s="81">
        <v>53.921734489648998</v>
      </c>
      <c r="I82" s="81">
        <v>18.545397499999993</v>
      </c>
      <c r="J82" s="81">
        <v>98.394655601207788</v>
      </c>
    </row>
    <row r="83" spans="2:10">
      <c r="B83" s="81">
        <v>2.2879999999999994</v>
      </c>
      <c r="C83" s="81">
        <v>1</v>
      </c>
      <c r="D83" s="81">
        <v>2.8599999999999994</v>
      </c>
      <c r="E83" s="81">
        <v>5.7199999999999989</v>
      </c>
      <c r="F83" s="81">
        <v>11.916666666666664</v>
      </c>
      <c r="G83" s="81">
        <v>0.78539749999999997</v>
      </c>
      <c r="H83" s="81">
        <v>54.282733517421178</v>
      </c>
      <c r="I83" s="81">
        <v>18.422064166666662</v>
      </c>
      <c r="J83" s="81">
        <v>97.6824303574016</v>
      </c>
    </row>
    <row r="84" spans="2:10">
      <c r="B84" s="81">
        <v>2.2719999999999994</v>
      </c>
      <c r="C84" s="81">
        <v>1</v>
      </c>
      <c r="D84" s="81">
        <v>2.8399999999999994</v>
      </c>
      <c r="E84" s="81">
        <v>5.6799999999999988</v>
      </c>
      <c r="F84" s="81">
        <v>11.833333333333332</v>
      </c>
      <c r="G84" s="81">
        <v>0.78539749999999997</v>
      </c>
      <c r="H84" s="81">
        <v>54.648598807649556</v>
      </c>
      <c r="I84" s="81">
        <v>18.29873083333333</v>
      </c>
      <c r="J84" s="81">
        <v>96.970222479455174</v>
      </c>
    </row>
    <row r="85" spans="2:10">
      <c r="B85" s="81">
        <v>2.2559999999999993</v>
      </c>
      <c r="C85" s="81">
        <v>1</v>
      </c>
      <c r="D85" s="81">
        <v>2.819999999999999</v>
      </c>
      <c r="E85" s="81">
        <v>5.6399999999999979</v>
      </c>
      <c r="F85" s="81">
        <v>11.749999999999995</v>
      </c>
      <c r="G85" s="81">
        <v>0.78539749999999997</v>
      </c>
      <c r="H85" s="81">
        <v>55.019429423758154</v>
      </c>
      <c r="I85" s="81">
        <v>18.175397499999992</v>
      </c>
      <c r="J85" s="81">
        <v>96.258032320888688</v>
      </c>
    </row>
    <row r="86" spans="2:10">
      <c r="B86" s="81">
        <v>2.2399999999999993</v>
      </c>
      <c r="C86" s="81">
        <v>1</v>
      </c>
      <c r="D86" s="81">
        <v>2.7999999999999989</v>
      </c>
      <c r="E86" s="81">
        <v>5.5999999999999979</v>
      </c>
      <c r="F86" s="81">
        <v>11.666666666666661</v>
      </c>
      <c r="G86" s="81">
        <v>0.78539749999999997</v>
      </c>
      <c r="H86" s="81">
        <v>55.395327136411993</v>
      </c>
      <c r="I86" s="81">
        <v>18.052064166666657</v>
      </c>
      <c r="J86" s="81">
        <v>95.545860244883343</v>
      </c>
    </row>
    <row r="87" spans="2:10">
      <c r="B87" s="81">
        <v>2.2239999999999993</v>
      </c>
      <c r="C87" s="81">
        <v>1</v>
      </c>
      <c r="D87" s="81">
        <v>2.7799999999999989</v>
      </c>
      <c r="E87" s="81">
        <v>5.5599999999999978</v>
      </c>
      <c r="F87" s="81">
        <v>11.583333333333329</v>
      </c>
      <c r="G87" s="81">
        <v>0.78539749999999997</v>
      </c>
      <c r="H87" s="81">
        <v>55.776396516633916</v>
      </c>
      <c r="I87" s="81">
        <v>17.928730833333326</v>
      </c>
      <c r="J87" s="81">
        <v>94.833706624613711</v>
      </c>
    </row>
    <row r="88" spans="2:10">
      <c r="B88" s="81">
        <v>2.2079999999999993</v>
      </c>
      <c r="C88" s="81">
        <v>1</v>
      </c>
      <c r="D88" s="81">
        <v>2.7599999999999989</v>
      </c>
      <c r="E88" s="81">
        <v>5.5199999999999978</v>
      </c>
      <c r="F88" s="81">
        <v>11.499999999999995</v>
      </c>
      <c r="G88" s="81">
        <v>0.78539749999999997</v>
      </c>
      <c r="H88" s="81">
        <v>56.162745032791349</v>
      </c>
      <c r="I88" s="81">
        <v>17.805397499999991</v>
      </c>
      <c r="J88" s="81">
        <v>94.12157184359404</v>
      </c>
    </row>
    <row r="89" spans="2:10">
      <c r="B89" s="81">
        <v>2.1919999999999993</v>
      </c>
      <c r="C89" s="81">
        <v>1</v>
      </c>
      <c r="D89" s="81">
        <v>2.7399999999999989</v>
      </c>
      <c r="E89" s="81">
        <v>5.4799999999999978</v>
      </c>
      <c r="F89" s="81">
        <v>11.416666666666661</v>
      </c>
      <c r="G89" s="81">
        <v>0.78539749999999997</v>
      </c>
      <c r="H89" s="81">
        <v>56.554483151641882</v>
      </c>
      <c r="I89" s="81">
        <v>17.682064166666656</v>
      </c>
      <c r="J89" s="81">
        <v>93.409456296038584</v>
      </c>
    </row>
    <row r="90" spans="2:10">
      <c r="B90" s="81">
        <v>2.1759999999999993</v>
      </c>
      <c r="C90" s="81">
        <v>1</v>
      </c>
      <c r="D90" s="81">
        <v>2.7199999999999989</v>
      </c>
      <c r="E90" s="81">
        <v>5.4399999999999986</v>
      </c>
      <c r="F90" s="81">
        <v>11.33333333333333</v>
      </c>
      <c r="G90" s="81">
        <v>0.78539749999999997</v>
      </c>
      <c r="H90" s="81">
        <v>56.951724443637431</v>
      </c>
      <c r="I90" s="81">
        <v>17.558730833333328</v>
      </c>
      <c r="J90" s="81">
        <v>92.697360387237509</v>
      </c>
    </row>
    <row r="91" spans="2:10">
      <c r="B91" s="81">
        <v>2.1599999999999993</v>
      </c>
      <c r="C91" s="81">
        <v>1</v>
      </c>
      <c r="D91" s="81">
        <v>2.6999999999999993</v>
      </c>
      <c r="E91" s="81">
        <v>5.3999999999999986</v>
      </c>
      <c r="F91" s="81">
        <v>11.249999999999996</v>
      </c>
      <c r="G91" s="81">
        <v>0.78539749999999997</v>
      </c>
      <c r="H91" s="81">
        <v>57.354585692697874</v>
      </c>
      <c r="I91" s="81">
        <v>17.435397499999993</v>
      </c>
      <c r="J91" s="81">
        <v>91.985284533948814</v>
      </c>
    </row>
    <row r="92" spans="2:10">
      <c r="B92" s="81">
        <v>2.1439999999999992</v>
      </c>
      <c r="C92" s="81">
        <v>1</v>
      </c>
      <c r="D92" s="81">
        <v>2.6799999999999993</v>
      </c>
      <c r="E92" s="81">
        <v>5.3599999999999985</v>
      </c>
      <c r="F92" s="81">
        <v>11.166666666666663</v>
      </c>
      <c r="G92" s="81">
        <v>0.78539749999999997</v>
      </c>
      <c r="H92" s="81">
        <v>57.763187010676639</v>
      </c>
      <c r="I92" s="81">
        <v>17.312064166666659</v>
      </c>
      <c r="J92" s="81">
        <v>91.273229164806423</v>
      </c>
    </row>
    <row r="93" spans="2:10">
      <c r="B93" s="81">
        <v>2.1279999999999992</v>
      </c>
      <c r="C93" s="81">
        <v>1</v>
      </c>
      <c r="D93" s="81">
        <v>2.6599999999999993</v>
      </c>
      <c r="E93" s="81">
        <v>5.3199999999999985</v>
      </c>
      <c r="F93" s="81">
        <v>11.08333333333333</v>
      </c>
      <c r="G93" s="81">
        <v>0.78539749999999997</v>
      </c>
      <c r="H93" s="81">
        <v>58.177651956754438</v>
      </c>
      <c r="I93" s="81">
        <v>17.188730833333327</v>
      </c>
      <c r="J93" s="81">
        <v>90.561194720746528</v>
      </c>
    </row>
    <row r="94" spans="2:10">
      <c r="B94" s="81">
        <v>2.1119999999999992</v>
      </c>
      <c r="C94" s="81">
        <v>1</v>
      </c>
      <c r="D94" s="81">
        <v>2.6399999999999992</v>
      </c>
      <c r="E94" s="81">
        <v>5.2799999999999985</v>
      </c>
      <c r="F94" s="81">
        <v>10.999999999999996</v>
      </c>
      <c r="G94" s="81">
        <v>0.78539749999999997</v>
      </c>
      <c r="H94" s="81">
        <v>58.598107662010243</v>
      </c>
      <c r="I94" s="81">
        <v>17.065397499999992</v>
      </c>
      <c r="J94" s="81">
        <v>89.849181655452199</v>
      </c>
    </row>
    <row r="95" spans="2:10">
      <c r="B95" s="81">
        <v>2.0959999999999992</v>
      </c>
      <c r="C95" s="81">
        <v>1</v>
      </c>
      <c r="D95" s="81">
        <v>2.6199999999999992</v>
      </c>
      <c r="E95" s="81">
        <v>5.2399999999999984</v>
      </c>
      <c r="F95" s="81">
        <v>10.916666666666663</v>
      </c>
      <c r="G95" s="81">
        <v>0.78539749999999997</v>
      </c>
      <c r="H95" s="81">
        <v>59.024684959433102</v>
      </c>
      <c r="I95" s="81">
        <v>16.942064166666658</v>
      </c>
      <c r="J95" s="81">
        <v>89.137190435817118</v>
      </c>
    </row>
    <row r="96" spans="2:10">
      <c r="B96" s="81">
        <v>2.0799999999999992</v>
      </c>
      <c r="C96" s="81">
        <v>1</v>
      </c>
      <c r="D96" s="81">
        <v>2.5999999999999992</v>
      </c>
      <c r="E96" s="81">
        <v>5.1999999999999984</v>
      </c>
      <c r="F96" s="81">
        <v>10.83333333333333</v>
      </c>
      <c r="G96" s="81">
        <v>0.78539749999999997</v>
      </c>
      <c r="H96" s="81">
        <v>59.457518519654471</v>
      </c>
      <c r="I96" s="81">
        <v>16.818730833333326</v>
      </c>
      <c r="J96" s="81">
        <v>88.42522154243008</v>
      </c>
    </row>
    <row r="97" spans="2:10">
      <c r="B97" s="81">
        <v>2.0639999999999992</v>
      </c>
      <c r="C97" s="81">
        <v>1</v>
      </c>
      <c r="D97" s="81">
        <v>2.5799999999999992</v>
      </c>
      <c r="E97" s="81">
        <v>5.1599999999999984</v>
      </c>
      <c r="F97" s="81">
        <v>10.749999999999996</v>
      </c>
      <c r="G97" s="81">
        <v>0.78539749999999997</v>
      </c>
      <c r="H97" s="81">
        <v>59.896746992696656</v>
      </c>
      <c r="I97" s="81">
        <v>16.695397499999995</v>
      </c>
      <c r="J97" s="81">
        <v>87.713275470080873</v>
      </c>
    </row>
    <row r="98" spans="2:10">
      <c r="B98" s="81">
        <v>2.0479999999999992</v>
      </c>
      <c r="C98" s="81">
        <v>1</v>
      </c>
      <c r="D98" s="81">
        <v>2.5599999999999987</v>
      </c>
      <c r="E98" s="81">
        <v>5.1199999999999974</v>
      </c>
      <c r="F98" s="81">
        <v>10.666666666666661</v>
      </c>
      <c r="G98" s="81">
        <v>0.78539749999999997</v>
      </c>
      <c r="H98" s="81">
        <v>60.342513156050757</v>
      </c>
      <c r="I98" s="81">
        <v>16.572064166666657</v>
      </c>
      <c r="J98" s="81">
        <v>87.001352728288651</v>
      </c>
    </row>
    <row r="99" spans="2:10">
      <c r="B99" s="81">
        <v>2.0319999999999991</v>
      </c>
      <c r="C99" s="81">
        <v>1</v>
      </c>
      <c r="D99" s="81">
        <v>2.5399999999999987</v>
      </c>
      <c r="E99" s="81">
        <v>5.0799999999999974</v>
      </c>
      <c r="F99" s="81">
        <v>10.583333333333329</v>
      </c>
      <c r="G99" s="81">
        <v>0.78539749999999997</v>
      </c>
      <c r="H99" s="81">
        <v>60.794964069416324</v>
      </c>
      <c r="I99" s="81">
        <v>16.448730833333325</v>
      </c>
      <c r="J99" s="81">
        <v>86.28945384185414</v>
      </c>
    </row>
    <row r="100" spans="2:10">
      <c r="B100" s="81">
        <v>2.0159999999999991</v>
      </c>
      <c r="C100" s="81">
        <v>1</v>
      </c>
      <c r="D100" s="81">
        <v>2.5199999999999987</v>
      </c>
      <c r="E100" s="81">
        <v>5.0399999999999974</v>
      </c>
      <c r="F100" s="81">
        <v>10.499999999999995</v>
      </c>
      <c r="G100" s="81">
        <v>0.78539749999999997</v>
      </c>
      <c r="H100" s="81">
        <v>61.254251236455382</v>
      </c>
      <c r="I100" s="81">
        <v>16.32539749999999</v>
      </c>
      <c r="J100" s="81">
        <v>85.577579351436896</v>
      </c>
    </row>
    <row r="101" spans="2:10">
      <c r="B101" s="81">
        <v>1.9999999999999991</v>
      </c>
      <c r="C101" s="81">
        <v>1</v>
      </c>
      <c r="D101" s="81">
        <v>2.4999999999999987</v>
      </c>
      <c r="E101" s="81">
        <v>4.9999999999999973</v>
      </c>
      <c r="F101" s="81">
        <v>10.416666666666661</v>
      </c>
      <c r="G101" s="81">
        <v>0.78539749999999997</v>
      </c>
      <c r="H101" s="81">
        <v>61.720530773933838</v>
      </c>
      <c r="I101" s="81">
        <v>16.202064166666656</v>
      </c>
      <c r="J101" s="81">
        <v>84.865729814158925</v>
      </c>
    </row>
    <row r="102" spans="2:10">
      <c r="B102" s="81">
        <v>1.9839999999999991</v>
      </c>
      <c r="C102" s="81">
        <v>1</v>
      </c>
      <c r="D102" s="81">
        <v>2.4799999999999986</v>
      </c>
      <c r="E102" s="81">
        <v>4.9599999999999973</v>
      </c>
      <c r="F102" s="81">
        <v>10.333333333333329</v>
      </c>
      <c r="G102" s="81">
        <v>0.78539749999999997</v>
      </c>
      <c r="H102" s="81">
        <v>62.193963588647712</v>
      </c>
      <c r="I102" s="81">
        <v>16.078730833333324</v>
      </c>
      <c r="J102" s="81">
        <v>84.153905804236075</v>
      </c>
    </row>
    <row r="103" spans="2:10">
      <c r="B103" s="81">
        <v>1.9679999999999991</v>
      </c>
      <c r="C103" s="81">
        <v>1</v>
      </c>
      <c r="D103" s="81">
        <v>2.4599999999999986</v>
      </c>
      <c r="E103" s="81">
        <v>4.9199999999999973</v>
      </c>
      <c r="F103" s="81">
        <v>10.249999999999995</v>
      </c>
      <c r="G103" s="81">
        <v>0.78539749999999997</v>
      </c>
      <c r="H103" s="81">
        <v>62.674715562554965</v>
      </c>
      <c r="I103" s="81">
        <v>15.955397499999991</v>
      </c>
      <c r="J103" s="81">
        <v>83.442107913638594</v>
      </c>
    </row>
    <row r="104" spans="2:10">
      <c r="B104" s="81">
        <v>1.9519999999999991</v>
      </c>
      <c r="C104" s="81">
        <v>1</v>
      </c>
      <c r="D104" s="81">
        <v>2.4399999999999991</v>
      </c>
      <c r="E104" s="81">
        <v>4.8799999999999981</v>
      </c>
      <c r="F104" s="81">
        <v>10.166666666666663</v>
      </c>
      <c r="G104" s="81">
        <v>0.78539749999999997</v>
      </c>
      <c r="H104" s="81">
        <v>63.162957746560444</v>
      </c>
      <c r="I104" s="81">
        <v>15.83206416666666</v>
      </c>
      <c r="J104" s="81">
        <v>82.730336752782833</v>
      </c>
    </row>
    <row r="105" spans="2:10">
      <c r="B105" s="81">
        <v>1.9359999999999991</v>
      </c>
      <c r="C105" s="81">
        <v>1</v>
      </c>
      <c r="D105" s="81">
        <v>2.419999999999999</v>
      </c>
      <c r="E105" s="81">
        <v>4.8399999999999981</v>
      </c>
      <c r="F105" s="81">
        <v>10.08333333333333</v>
      </c>
      <c r="G105" s="81">
        <v>0.78539749999999997</v>
      </c>
      <c r="H105" s="81">
        <v>63.658866563429683</v>
      </c>
      <c r="I105" s="81">
        <v>15.708730833333329</v>
      </c>
      <c r="J105" s="81">
        <v>82.018592951255243</v>
      </c>
    </row>
    <row r="106" spans="2:10">
      <c r="B106" s="81">
        <v>1.919999999999999</v>
      </c>
      <c r="C106" s="81">
        <v>1</v>
      </c>
      <c r="D106" s="81">
        <v>2.399999999999999</v>
      </c>
      <c r="E106" s="81">
        <v>4.799999999999998</v>
      </c>
      <c r="F106" s="81">
        <v>9.9999999999999964</v>
      </c>
      <c r="G106" s="81">
        <v>0.78539749999999997</v>
      </c>
      <c r="H106" s="81">
        <v>64.162624020337006</v>
      </c>
      <c r="I106" s="81">
        <v>15.585397499999994</v>
      </c>
      <c r="J106" s="81">
        <v>81.306877158570998</v>
      </c>
    </row>
    <row r="107" spans="2:10">
      <c r="B107" s="81">
        <v>1.903999999999999</v>
      </c>
      <c r="C107" s="81">
        <v>1</v>
      </c>
      <c r="D107" s="81">
        <v>2.379999999999999</v>
      </c>
      <c r="E107" s="81">
        <v>4.759999999999998</v>
      </c>
      <c r="F107" s="81">
        <v>9.9166666666666625</v>
      </c>
      <c r="G107" s="81">
        <v>0.78539749999999997</v>
      </c>
      <c r="H107" s="81">
        <v>64.674417931586035</v>
      </c>
      <c r="I107" s="81">
        <v>15.462064166666661</v>
      </c>
      <c r="J107" s="81">
        <v>80.595190044968632</v>
      </c>
    </row>
    <row r="108" spans="2:10">
      <c r="B108" s="81">
        <v>1.887999999999999</v>
      </c>
      <c r="C108" s="81">
        <v>1</v>
      </c>
      <c r="D108" s="81">
        <v>2.359999999999999</v>
      </c>
      <c r="E108" s="81">
        <v>4.719999999999998</v>
      </c>
      <c r="F108" s="81">
        <v>9.8333333333333304</v>
      </c>
      <c r="G108" s="81">
        <v>0.78539749999999997</v>
      </c>
      <c r="H108" s="81">
        <v>65.194442152075084</v>
      </c>
      <c r="I108" s="81">
        <v>15.338730833333328</v>
      </c>
      <c r="J108" s="81">
        <v>79.883532302243367</v>
      </c>
    </row>
    <row r="109" spans="2:10">
      <c r="B109" s="81">
        <v>1.871999999999999</v>
      </c>
      <c r="C109" s="81">
        <v>1</v>
      </c>
      <c r="D109" s="81">
        <v>2.339999999999999</v>
      </c>
      <c r="E109" s="81">
        <v>4.6799999999999979</v>
      </c>
      <c r="F109" s="81">
        <v>9.7499999999999964</v>
      </c>
      <c r="G109" s="81">
        <v>0.78539749999999997</v>
      </c>
      <c r="H109" s="81">
        <v>65.722896822117221</v>
      </c>
      <c r="I109" s="81">
        <v>15.215397499999995</v>
      </c>
      <c r="J109" s="81">
        <v>79.171904644620668</v>
      </c>
    </row>
    <row r="110" spans="2:10">
      <c r="B110" s="81">
        <v>1.855999999999999</v>
      </c>
      <c r="C110" s="81">
        <v>1</v>
      </c>
      <c r="D110" s="81">
        <v>2.3199999999999985</v>
      </c>
      <c r="E110" s="81">
        <v>4.639999999999997</v>
      </c>
      <c r="F110" s="81">
        <v>9.6666666666666607</v>
      </c>
      <c r="G110" s="81">
        <v>0.78539749999999997</v>
      </c>
      <c r="H110" s="81">
        <v>66.259988624264324</v>
      </c>
      <c r="I110" s="81">
        <v>15.092064166666658</v>
      </c>
      <c r="J110" s="81">
        <v>78.46030780967277</v>
      </c>
    </row>
    <row r="111" spans="2:10">
      <c r="B111" s="81">
        <v>1.839999999999999</v>
      </c>
      <c r="C111" s="81">
        <v>1</v>
      </c>
      <c r="D111" s="81">
        <v>2.2999999999999985</v>
      </c>
      <c r="E111" s="81">
        <v>4.599999999999997</v>
      </c>
      <c r="F111" s="81">
        <v>9.5833333333333286</v>
      </c>
      <c r="G111" s="81">
        <v>0.78539749999999997</v>
      </c>
      <c r="H111" s="81">
        <v>66.805931052827546</v>
      </c>
      <c r="I111" s="81">
        <v>14.968730833333327</v>
      </c>
      <c r="J111" s="81">
        <v>77.748742559280601</v>
      </c>
    </row>
    <row r="112" spans="2:10">
      <c r="B112" s="81">
        <v>1.823999999999999</v>
      </c>
      <c r="C112" s="81">
        <v>1</v>
      </c>
      <c r="D112" s="81">
        <v>2.2799999999999985</v>
      </c>
      <c r="E112" s="81">
        <v>4.5599999999999969</v>
      </c>
      <c r="F112" s="81">
        <v>9.4999999999999947</v>
      </c>
      <c r="G112" s="81">
        <v>0.78539749999999997</v>
      </c>
      <c r="H112" s="81">
        <v>67.360944696832846</v>
      </c>
      <c r="I112" s="81">
        <v>14.845397499999992</v>
      </c>
      <c r="J112" s="81">
        <v>77.0372096806434</v>
      </c>
    </row>
    <row r="113" spans="2:10">
      <c r="B113" s="81">
        <v>1.8079999999999989</v>
      </c>
      <c r="C113" s="81">
        <v>1</v>
      </c>
      <c r="D113" s="81">
        <v>2.2599999999999985</v>
      </c>
      <c r="E113" s="81">
        <v>4.5199999999999969</v>
      </c>
      <c r="F113" s="81">
        <v>9.4166666666666607</v>
      </c>
      <c r="G113" s="81">
        <v>0.78539749999999997</v>
      </c>
      <c r="H113" s="81">
        <v>67.925257537198888</v>
      </c>
      <c r="I113" s="81">
        <v>14.722064166666657</v>
      </c>
      <c r="J113" s="81">
        <v>76.325709987339238</v>
      </c>
    </row>
    <row r="114" spans="2:10">
      <c r="B114" s="81">
        <v>1.7919999999999989</v>
      </c>
      <c r="C114" s="81">
        <v>1</v>
      </c>
      <c r="D114" s="81">
        <v>2.2399999999999984</v>
      </c>
      <c r="E114" s="81">
        <v>4.4799999999999969</v>
      </c>
      <c r="F114" s="81">
        <v>9.3333333333333286</v>
      </c>
      <c r="G114" s="81">
        <v>0.78539749999999997</v>
      </c>
      <c r="H114" s="81">
        <v>68.499105258978886</v>
      </c>
      <c r="I114" s="81">
        <v>14.598730833333326</v>
      </c>
      <c r="J114" s="81">
        <v>75.61424432043944</v>
      </c>
    </row>
    <row r="115" spans="2:10">
      <c r="B115" s="81">
        <v>1.7759999999999989</v>
      </c>
      <c r="C115" s="81">
        <v>1</v>
      </c>
      <c r="D115" s="81">
        <v>2.2199999999999984</v>
      </c>
      <c r="E115" s="81">
        <v>4.4399999999999968</v>
      </c>
      <c r="F115" s="81">
        <v>9.2499999999999947</v>
      </c>
      <c r="G115" s="81">
        <v>0.78539749999999997</v>
      </c>
      <c r="H115" s="81">
        <v>69.082731579564609</v>
      </c>
      <c r="I115" s="81">
        <v>14.475397499999991</v>
      </c>
      <c r="J115" s="81">
        <v>74.902813549679649</v>
      </c>
    </row>
    <row r="116" spans="2:10">
      <c r="B116" s="81">
        <v>1.7599999999999989</v>
      </c>
      <c r="C116" s="81">
        <v>1</v>
      </c>
      <c r="D116" s="81">
        <v>2.1999999999999988</v>
      </c>
      <c r="E116" s="81">
        <v>4.3999999999999977</v>
      </c>
      <c r="F116" s="81">
        <v>9.1666666666666607</v>
      </c>
      <c r="G116" s="81">
        <v>0.78539749999999997</v>
      </c>
      <c r="H116" s="81">
        <v>69.676388593812646</v>
      </c>
      <c r="I116" s="81">
        <v>14.35206416666666</v>
      </c>
      <c r="J116" s="81">
        <v>74.191418574691625</v>
      </c>
    </row>
    <row r="117" spans="2:10">
      <c r="B117" s="81">
        <v>1.7439999999999989</v>
      </c>
      <c r="C117" s="81">
        <v>1</v>
      </c>
      <c r="D117" s="81">
        <v>2.1799999999999988</v>
      </c>
      <c r="E117" s="81">
        <v>4.3599999999999977</v>
      </c>
      <c r="F117" s="81">
        <v>9.0833333333333286</v>
      </c>
      <c r="G117" s="81">
        <v>0.78539749999999997</v>
      </c>
      <c r="H117" s="81">
        <v>70.280337137119957</v>
      </c>
      <c r="I117" s="81">
        <v>14.228730833333326</v>
      </c>
      <c r="J117" s="81">
        <v>73.480060326298684</v>
      </c>
    </row>
    <row r="118" spans="2:10">
      <c r="B118" s="81">
        <v>1.7279999999999989</v>
      </c>
      <c r="C118" s="81">
        <v>1</v>
      </c>
      <c r="D118" s="81">
        <v>2.1599999999999988</v>
      </c>
      <c r="E118" s="81">
        <v>4.3199999999999976</v>
      </c>
      <c r="F118" s="81">
        <v>8.9999999999999947</v>
      </c>
      <c r="G118" s="81">
        <v>0.78539749999999997</v>
      </c>
      <c r="H118" s="81">
        <v>70.89484716754707</v>
      </c>
      <c r="I118" s="81">
        <v>14.105397499999993</v>
      </c>
      <c r="J118" s="81">
        <v>72.768739767879609</v>
      </c>
    </row>
    <row r="119" spans="2:10">
      <c r="B119" s="81">
        <v>1.7119999999999989</v>
      </c>
      <c r="C119" s="81">
        <v>1</v>
      </c>
      <c r="D119" s="81">
        <v>2.1399999999999988</v>
      </c>
      <c r="E119" s="81">
        <v>4.2799999999999976</v>
      </c>
      <c r="F119" s="81">
        <v>8.9166666666666607</v>
      </c>
      <c r="G119" s="81">
        <v>0.78539749999999997</v>
      </c>
      <c r="H119" s="81">
        <v>71.520198168165123</v>
      </c>
      <c r="I119" s="81">
        <v>13.982064166666659</v>
      </c>
      <c r="J119" s="81">
        <v>72.057457896804308</v>
      </c>
    </row>
    <row r="120" spans="2:10">
      <c r="B120" s="81">
        <v>1.6959999999999988</v>
      </c>
      <c r="C120" s="81">
        <v>1</v>
      </c>
      <c r="D120" s="81">
        <v>2.1199999999999988</v>
      </c>
      <c r="E120" s="81">
        <v>4.2399999999999975</v>
      </c>
      <c r="F120" s="81">
        <v>8.8333333333333286</v>
      </c>
      <c r="G120" s="81">
        <v>0.78539749999999997</v>
      </c>
      <c r="H120" s="81">
        <v>72.156679570886652</v>
      </c>
      <c r="I120" s="81">
        <v>13.858730833333327</v>
      </c>
      <c r="J120" s="81">
        <v>71.346215745946367</v>
      </c>
    </row>
    <row r="121" spans="2:10">
      <c r="B121" s="81">
        <v>1.6799999999999988</v>
      </c>
      <c r="C121" s="81">
        <v>1</v>
      </c>
      <c r="D121" s="81">
        <v>2.0999999999999988</v>
      </c>
      <c r="E121" s="81">
        <v>4.1999999999999975</v>
      </c>
      <c r="F121" s="81">
        <v>8.7499999999999947</v>
      </c>
      <c r="G121" s="81">
        <v>0.78539749999999997</v>
      </c>
      <c r="H121" s="81">
        <v>72.804591203130485</v>
      </c>
      <c r="I121" s="81">
        <v>13.735397499999992</v>
      </c>
      <c r="J121" s="81">
        <v>70.635014385277117</v>
      </c>
    </row>
    <row r="122" spans="2:10">
      <c r="B122" s="81">
        <v>1.6639999999999988</v>
      </c>
      <c r="C122" s="81">
        <v>1</v>
      </c>
      <c r="D122" s="81">
        <v>2.0799999999999983</v>
      </c>
      <c r="E122" s="81">
        <v>4.1599999999999966</v>
      </c>
      <c r="F122" s="81">
        <v>8.666666666666659</v>
      </c>
      <c r="G122" s="81">
        <v>0.78539749999999997</v>
      </c>
      <c r="H122" s="81">
        <v>73.464243758768703</v>
      </c>
      <c r="I122" s="81">
        <v>13.612064166666656</v>
      </c>
      <c r="J122" s="81">
        <v>69.923854923546003</v>
      </c>
    </row>
    <row r="123" spans="2:10">
      <c r="B123" s="81">
        <v>1.6479999999999988</v>
      </c>
      <c r="C123" s="81">
        <v>1</v>
      </c>
      <c r="D123" s="81">
        <v>2.0599999999999983</v>
      </c>
      <c r="E123" s="81">
        <v>4.1199999999999966</v>
      </c>
      <c r="F123" s="81">
        <v>8.583333333333325</v>
      </c>
      <c r="G123" s="81">
        <v>0.78539749999999997</v>
      </c>
      <c r="H123" s="81">
        <v>74.135959294910251</v>
      </c>
      <c r="I123" s="81">
        <v>13.488730833333323</v>
      </c>
      <c r="J123" s="81">
        <v>69.212738510053754</v>
      </c>
    </row>
    <row r="124" spans="2:10">
      <c r="B124" s="81">
        <v>1.6319999999999988</v>
      </c>
      <c r="C124" s="81">
        <v>1</v>
      </c>
      <c r="D124" s="81">
        <v>2.0399999999999983</v>
      </c>
      <c r="E124" s="81">
        <v>4.0799999999999965</v>
      </c>
      <c r="F124" s="81">
        <v>8.4999999999999929</v>
      </c>
      <c r="G124" s="81">
        <v>0.78539749999999997</v>
      </c>
      <c r="H124" s="81">
        <v>74.820071756189876</v>
      </c>
      <c r="I124" s="81">
        <v>13.36539749999999</v>
      </c>
      <c r="J124" s="81">
        <v>68.501666336523044</v>
      </c>
    </row>
    <row r="125" spans="2:10">
      <c r="B125" s="81">
        <v>1.6159999999999988</v>
      </c>
      <c r="C125" s="81">
        <v>1</v>
      </c>
      <c r="D125" s="81">
        <v>2.0199999999999982</v>
      </c>
      <c r="E125" s="81">
        <v>4.0399999999999965</v>
      </c>
      <c r="F125" s="81">
        <v>8.416666666666659</v>
      </c>
      <c r="G125" s="81">
        <v>0.78539749999999997</v>
      </c>
      <c r="H125" s="81">
        <v>75.516927528355566</v>
      </c>
      <c r="I125" s="81">
        <v>13.242064166666657</v>
      </c>
      <c r="J125" s="81">
        <v>67.790639639074328</v>
      </c>
    </row>
    <row r="126" spans="2:10">
      <c r="B126" s="81">
        <v>1.5999999999999988</v>
      </c>
      <c r="C126" s="81">
        <v>1</v>
      </c>
      <c r="D126" s="81">
        <v>1.9999999999999982</v>
      </c>
      <c r="E126" s="81">
        <v>3.9999999999999964</v>
      </c>
      <c r="F126" s="81">
        <v>8.333333333333325</v>
      </c>
      <c r="G126" s="81">
        <v>0.78539749999999997</v>
      </c>
      <c r="H126" s="81">
        <v>76.226886023082713</v>
      </c>
      <c r="I126" s="81">
        <v>13.118730833333322</v>
      </c>
      <c r="J126" s="81">
        <v>67.079659700312675</v>
      </c>
    </row>
    <row r="127" spans="2:10">
      <c r="B127" s="81">
        <v>1.5839999999999987</v>
      </c>
      <c r="C127" s="81">
        <v>1</v>
      </c>
      <c r="D127" s="81">
        <v>1.9799999999999982</v>
      </c>
      <c r="E127" s="81">
        <v>3.9599999999999964</v>
      </c>
      <c r="F127" s="81">
        <v>8.2499999999999929</v>
      </c>
      <c r="G127" s="81">
        <v>0.78539749999999997</v>
      </c>
      <c r="H127" s="81">
        <v>76.950320296089501</v>
      </c>
      <c r="I127" s="81">
        <v>12.99539749999999</v>
      </c>
      <c r="J127" s="81">
        <v>66.368727851533535</v>
      </c>
    </row>
    <row r="128" spans="2:10">
      <c r="B128" s="81">
        <v>1.5679999999999987</v>
      </c>
      <c r="C128" s="81">
        <v>1</v>
      </c>
      <c r="D128" s="81">
        <v>1.9599999999999982</v>
      </c>
      <c r="E128" s="81">
        <v>3.9199999999999964</v>
      </c>
      <c r="F128" s="81">
        <v>8.166666666666659</v>
      </c>
      <c r="G128" s="81">
        <v>0.78539749999999997</v>
      </c>
      <c r="H128" s="81">
        <v>77.687617700787115</v>
      </c>
      <c r="I128" s="81">
        <v>12.872064166666656</v>
      </c>
      <c r="J128" s="81">
        <v>65.65784547505551</v>
      </c>
    </row>
    <row r="129" spans="2:10">
      <c r="B129" s="81">
        <v>1.5519999999999987</v>
      </c>
      <c r="C129" s="81">
        <v>1</v>
      </c>
      <c r="D129" s="81">
        <v>1.9399999999999984</v>
      </c>
      <c r="E129" s="81">
        <v>3.8799999999999968</v>
      </c>
      <c r="F129" s="81">
        <v>8.0833333333333268</v>
      </c>
      <c r="G129" s="81">
        <v>0.78539749999999997</v>
      </c>
      <c r="H129" s="81">
        <v>78.439180579870836</v>
      </c>
      <c r="I129" s="81">
        <v>12.748730833333324</v>
      </c>
      <c r="J129" s="81">
        <v>64.947014006688306</v>
      </c>
    </row>
    <row r="130" spans="2:10">
      <c r="B130" s="81">
        <v>1.5359999999999987</v>
      </c>
      <c r="C130" s="81">
        <v>1</v>
      </c>
      <c r="D130" s="81">
        <v>1.9199999999999984</v>
      </c>
      <c r="E130" s="81">
        <v>3.8399999999999967</v>
      </c>
      <c r="F130" s="81">
        <v>7.9999999999999947</v>
      </c>
      <c r="G130" s="81">
        <v>0.78539749999999997</v>
      </c>
      <c r="H130" s="81">
        <v>79.205426997447063</v>
      </c>
      <c r="I130" s="81">
        <v>12.625397499999991</v>
      </c>
      <c r="J130" s="81">
        <v>64.236234938345447</v>
      </c>
    </row>
    <row r="131" spans="2:10">
      <c r="B131" s="81">
        <v>1.5199999999999987</v>
      </c>
      <c r="C131" s="81">
        <v>1</v>
      </c>
      <c r="D131" s="81">
        <v>1.8999999999999984</v>
      </c>
      <c r="E131" s="81">
        <v>3.7999999999999967</v>
      </c>
      <c r="F131" s="81">
        <v>7.9166666666666599</v>
      </c>
      <c r="G131" s="81">
        <v>0.78539749999999997</v>
      </c>
      <c r="H131" s="81">
        <v>79.986791514494641</v>
      </c>
      <c r="I131" s="81">
        <v>12.502064166666656</v>
      </c>
      <c r="J131" s="81">
        <v>63.525509820811529</v>
      </c>
    </row>
    <row r="132" spans="2:10">
      <c r="B132" s="81">
        <v>1.5039999999999987</v>
      </c>
      <c r="C132" s="81">
        <v>1</v>
      </c>
      <c r="D132" s="81">
        <v>1.8799999999999983</v>
      </c>
      <c r="E132" s="81">
        <v>3.7599999999999967</v>
      </c>
      <c r="F132" s="81">
        <v>7.8333333333333268</v>
      </c>
      <c r="G132" s="81">
        <v>0.78539749999999997</v>
      </c>
      <c r="H132" s="81">
        <v>80.78372601068358</v>
      </c>
      <c r="I132" s="81">
        <v>12.378730833333323</v>
      </c>
      <c r="J132" s="81">
        <v>62.814840266675098</v>
      </c>
    </row>
    <row r="133" spans="2:10">
      <c r="B133" s="81">
        <v>1.4879999999999987</v>
      </c>
      <c r="C133" s="81">
        <v>1</v>
      </c>
      <c r="D133" s="81">
        <v>1.8599999999999983</v>
      </c>
      <c r="E133" s="81">
        <v>3.7199999999999966</v>
      </c>
      <c r="F133" s="81">
        <v>7.7499999999999947</v>
      </c>
      <c r="G133" s="81">
        <v>0.78539749999999997</v>
      </c>
      <c r="H133" s="81">
        <v>81.596700555816369</v>
      </c>
      <c r="I133" s="81">
        <v>12.255397499999992</v>
      </c>
      <c r="J133" s="81">
        <v>62.104227953438404</v>
      </c>
    </row>
    <row r="134" spans="2:10">
      <c r="B134" s="81">
        <v>1.4719999999999986</v>
      </c>
      <c r="C134" s="81">
        <v>1</v>
      </c>
      <c r="D134" s="81">
        <v>1.8399999999999983</v>
      </c>
      <c r="E134" s="81">
        <v>3.6799999999999966</v>
      </c>
      <c r="F134" s="81">
        <v>7.6666666666666599</v>
      </c>
      <c r="G134" s="81">
        <v>0.78539749999999997</v>
      </c>
      <c r="H134" s="81">
        <v>82.426204334423232</v>
      </c>
      <c r="I134" s="81">
        <v>12.132064166666657</v>
      </c>
      <c r="J134" s="81">
        <v>61.393674626817017</v>
      </c>
    </row>
    <row r="135" spans="2:10">
      <c r="B135" s="81">
        <v>1.4559999999999986</v>
      </c>
      <c r="C135" s="81">
        <v>1</v>
      </c>
      <c r="D135" s="81">
        <v>1.8199999999999983</v>
      </c>
      <c r="E135" s="81">
        <v>3.6399999999999966</v>
      </c>
      <c r="F135" s="81">
        <v>7.5833333333333259</v>
      </c>
      <c r="G135" s="81">
        <v>0.78539749999999997</v>
      </c>
      <c r="H135" s="81">
        <v>83.27274662733241</v>
      </c>
      <c r="I135" s="81">
        <v>12.008730833333322</v>
      </c>
      <c r="J135" s="81">
        <v>60.68318210424259</v>
      </c>
    </row>
    <row r="136" spans="2:10">
      <c r="B136" s="81">
        <v>1.4399999999999986</v>
      </c>
      <c r="C136" s="81">
        <v>1</v>
      </c>
      <c r="D136" s="81">
        <v>1.7999999999999983</v>
      </c>
      <c r="E136" s="81">
        <v>3.5999999999999965</v>
      </c>
      <c r="F136" s="81">
        <v>7.4999999999999929</v>
      </c>
      <c r="G136" s="81">
        <v>0.78539749999999997</v>
      </c>
      <c r="H136" s="81">
        <v>84.13685785435456</v>
      </c>
      <c r="I136" s="81">
        <v>11.885397499999989</v>
      </c>
      <c r="J136" s="81">
        <v>59.972752278583819</v>
      </c>
    </row>
    <row r="137" spans="2:10">
      <c r="B137" s="81">
        <v>1.4239999999999986</v>
      </c>
      <c r="C137" s="81">
        <v>1</v>
      </c>
      <c r="D137" s="81">
        <v>1.7799999999999983</v>
      </c>
      <c r="E137" s="81">
        <v>3.5599999999999965</v>
      </c>
      <c r="F137" s="81">
        <v>7.416666666666659</v>
      </c>
      <c r="G137" s="81">
        <v>0.78539749999999997</v>
      </c>
      <c r="H137" s="81">
        <v>85.019090682566627</v>
      </c>
      <c r="I137" s="81">
        <v>11.762064166666656</v>
      </c>
      <c r="J137" s="81">
        <v>59.262387122101593</v>
      </c>
    </row>
    <row r="138" spans="2:10">
      <c r="B138" s="81">
        <v>1.4079999999999986</v>
      </c>
      <c r="C138" s="81">
        <v>1</v>
      </c>
      <c r="D138" s="81">
        <v>1.7599999999999982</v>
      </c>
      <c r="E138" s="81">
        <v>3.5199999999999965</v>
      </c>
      <c r="F138" s="81">
        <v>7.3333333333333259</v>
      </c>
      <c r="G138" s="81">
        <v>0.78539749999999997</v>
      </c>
      <c r="H138" s="81">
        <v>85.920021205061317</v>
      </c>
      <c r="I138" s="81">
        <v>11.638730833333323</v>
      </c>
      <c r="J138" s="81">
        <v>58.552088690655424</v>
      </c>
    </row>
    <row r="139" spans="2:10">
      <c r="B139" s="81">
        <v>1.3919999999999986</v>
      </c>
      <c r="C139" s="81">
        <v>2</v>
      </c>
      <c r="D139" s="81">
        <v>1.7399999999999982</v>
      </c>
      <c r="E139" s="81">
        <v>3.4799999999999964</v>
      </c>
      <c r="F139" s="81">
        <v>7.2499999999999929</v>
      </c>
      <c r="G139" s="81">
        <v>2.3561924999999997</v>
      </c>
      <c r="H139" s="81">
        <v>76.4164213540341</v>
      </c>
      <c r="I139" s="81">
        <v>13.086192499999989</v>
      </c>
      <c r="J139" s="81">
        <v>50.898838604124109</v>
      </c>
    </row>
    <row r="140" spans="2:10">
      <c r="B140" s="81">
        <v>1.3759999999999986</v>
      </c>
      <c r="C140" s="81">
        <v>2</v>
      </c>
      <c r="D140" s="81">
        <v>1.7199999999999982</v>
      </c>
      <c r="E140" s="81">
        <v>3.4399999999999964</v>
      </c>
      <c r="F140" s="81">
        <v>7.166666666666659</v>
      </c>
      <c r="G140" s="81">
        <v>2.3561924999999997</v>
      </c>
      <c r="H140" s="81">
        <v>77.143474841680771</v>
      </c>
      <c r="I140" s="81">
        <v>12.962859166666654</v>
      </c>
      <c r="J140" s="81">
        <v>50.20867631375814</v>
      </c>
    </row>
    <row r="141" spans="2:10">
      <c r="B141" s="81">
        <v>1.3599999999999985</v>
      </c>
      <c r="C141" s="81">
        <v>2</v>
      </c>
      <c r="D141" s="81">
        <v>1.6999999999999982</v>
      </c>
      <c r="E141" s="81">
        <v>3.3999999999999964</v>
      </c>
      <c r="F141" s="81">
        <v>7.0833333333333259</v>
      </c>
      <c r="G141" s="81">
        <v>2.3561924999999997</v>
      </c>
      <c r="H141" s="81">
        <v>77.884496123980767</v>
      </c>
      <c r="I141" s="81">
        <v>12.839525833333322</v>
      </c>
      <c r="J141" s="81">
        <v>49.51896263562687</v>
      </c>
    </row>
    <row r="142" spans="2:10">
      <c r="B142" s="81">
        <v>1.3439999999999985</v>
      </c>
      <c r="C142" s="81">
        <v>2</v>
      </c>
      <c r="D142" s="81">
        <v>1.6799999999999982</v>
      </c>
      <c r="E142" s="81">
        <v>3.3599999999999963</v>
      </c>
      <c r="F142" s="81">
        <v>6.9999999999999929</v>
      </c>
      <c r="G142" s="81">
        <v>2.3561924999999997</v>
      </c>
      <c r="H142" s="81">
        <v>78.639891618501451</v>
      </c>
      <c r="I142" s="81">
        <v>12.716192499999988</v>
      </c>
      <c r="J142" s="81">
        <v>48.829710622892769</v>
      </c>
    </row>
    <row r="143" spans="2:10">
      <c r="B143" s="81">
        <v>1.3279999999999985</v>
      </c>
      <c r="C143" s="81">
        <v>2</v>
      </c>
      <c r="D143" s="81">
        <v>1.6599999999999981</v>
      </c>
      <c r="E143" s="81">
        <v>3.3199999999999963</v>
      </c>
      <c r="F143" s="81">
        <v>6.916666666666659</v>
      </c>
      <c r="G143" s="81">
        <v>2.3561924999999997</v>
      </c>
      <c r="H143" s="81">
        <v>79.410083664478961</v>
      </c>
      <c r="I143" s="81">
        <v>12.592859166666656</v>
      </c>
      <c r="J143" s="81">
        <v>48.140933840084315</v>
      </c>
    </row>
    <row r="144" spans="2:10">
      <c r="B144" s="81">
        <v>1.3119999999999985</v>
      </c>
      <c r="C144" s="81">
        <v>2</v>
      </c>
      <c r="D144" s="81">
        <v>1.6399999999999981</v>
      </c>
      <c r="E144" s="81">
        <v>3.2799999999999963</v>
      </c>
      <c r="F144" s="81">
        <v>6.8333333333333259</v>
      </c>
      <c r="G144" s="81">
        <v>2.3561924999999997</v>
      </c>
      <c r="H144" s="81">
        <v>80.195511310206939</v>
      </c>
      <c r="I144" s="81">
        <v>12.469525833333321</v>
      </c>
      <c r="J144" s="81">
        <v>47.45264638838507</v>
      </c>
    </row>
    <row r="145" spans="2:10">
      <c r="B145" s="81">
        <v>1.2959999999999985</v>
      </c>
      <c r="C145" s="81">
        <v>2</v>
      </c>
      <c r="D145" s="81">
        <v>1.6199999999999981</v>
      </c>
      <c r="E145" s="81">
        <v>3.2399999999999962</v>
      </c>
      <c r="F145" s="81">
        <v>6.7499999999999929</v>
      </c>
      <c r="G145" s="81">
        <v>2.3561924999999997</v>
      </c>
      <c r="H145" s="81">
        <v>80.996631147619055</v>
      </c>
      <c r="I145" s="81">
        <v>12.34619249999999</v>
      </c>
      <c r="J145" s="81">
        <v>46.764862932438405</v>
      </c>
    </row>
    <row r="146" spans="2:10">
      <c r="B146" s="81">
        <v>1.2799999999999985</v>
      </c>
      <c r="C146" s="81">
        <v>2</v>
      </c>
      <c r="D146" s="81">
        <v>1.5999999999999981</v>
      </c>
      <c r="E146" s="81">
        <v>3.1999999999999962</v>
      </c>
      <c r="F146" s="81">
        <v>6.666666666666659</v>
      </c>
      <c r="G146" s="81">
        <v>2.3561924999999997</v>
      </c>
      <c r="H146" s="81">
        <v>81.813918197399474</v>
      </c>
      <c r="I146" s="81">
        <v>12.222859166666655</v>
      </c>
      <c r="J146" s="81">
        <v>46.077598728775271</v>
      </c>
    </row>
    <row r="147" spans="2:10">
      <c r="B147" s="81">
        <v>1.2639999999999985</v>
      </c>
      <c r="C147" s="81">
        <v>2</v>
      </c>
      <c r="D147" s="81">
        <v>1.5799999999999981</v>
      </c>
      <c r="E147" s="81">
        <v>3.1599999999999961</v>
      </c>
      <c r="F147" s="81">
        <v>6.5833333333333259</v>
      </c>
      <c r="G147" s="81">
        <v>2.3561924999999997</v>
      </c>
      <c r="H147" s="81">
        <v>82.64786684822576</v>
      </c>
      <c r="I147" s="81">
        <v>12.09952583333332</v>
      </c>
      <c r="J147" s="81">
        <v>45.390869655980268</v>
      </c>
    </row>
    <row r="148" spans="2:10">
      <c r="B148" s="81">
        <v>1.2479999999999984</v>
      </c>
      <c r="C148" s="81">
        <v>2</v>
      </c>
      <c r="D148" s="81">
        <v>1.5599999999999981</v>
      </c>
      <c r="E148" s="81">
        <v>3.1199999999999961</v>
      </c>
      <c r="F148" s="81">
        <v>6.4999999999999911</v>
      </c>
      <c r="G148" s="81">
        <v>2.3561924999999997</v>
      </c>
      <c r="H148" s="81">
        <v>83.498991854047205</v>
      </c>
      <c r="I148" s="81">
        <v>11.976192499999986</v>
      </c>
      <c r="J148" s="81">
        <v>44.70469224672194</v>
      </c>
    </row>
    <row r="149" spans="2:10">
      <c r="B149" s="81">
        <v>1.2319999999999984</v>
      </c>
      <c r="C149" s="81">
        <v>2</v>
      </c>
      <c r="D149" s="81">
        <v>1.539999999999998</v>
      </c>
      <c r="E149" s="81">
        <v>3.0799999999999961</v>
      </c>
      <c r="F149" s="81">
        <v>6.4166666666666572</v>
      </c>
      <c r="G149" s="81">
        <v>2.3561924999999997</v>
      </c>
      <c r="H149" s="81">
        <v>84.367829393625286</v>
      </c>
      <c r="I149" s="81">
        <v>11.852859166666654</v>
      </c>
      <c r="J149" s="81">
        <v>44.019083721782671</v>
      </c>
    </row>
    <row r="150" spans="2:10">
      <c r="B150" s="81">
        <v>1.2159999999999984</v>
      </c>
      <c r="C150" s="81">
        <v>2</v>
      </c>
      <c r="D150" s="81">
        <v>1.519999999999998</v>
      </c>
      <c r="E150" s="81">
        <v>3.039999999999996</v>
      </c>
      <c r="F150" s="81">
        <v>6.3333333333333242</v>
      </c>
      <c r="G150" s="81">
        <v>2.3561924999999997</v>
      </c>
      <c r="H150" s="81">
        <v>85.254938196919255</v>
      </c>
      <c r="I150" s="81">
        <v>11.729525833333319</v>
      </c>
      <c r="J150" s="81">
        <v>43.334062026235586</v>
      </c>
    </row>
    <row r="151" spans="2:10">
      <c r="B151" s="81">
        <v>1.1999999999999984</v>
      </c>
      <c r="C151" s="81">
        <v>3</v>
      </c>
      <c r="D151" s="81">
        <v>1.499999999999998</v>
      </c>
      <c r="E151" s="81">
        <v>2.999999999999996</v>
      </c>
      <c r="F151" s="81">
        <v>6.2499999999999911</v>
      </c>
      <c r="G151" s="81">
        <v>3.9269875000000001</v>
      </c>
      <c r="H151" s="81">
        <v>75.889879989641102</v>
      </c>
      <c r="I151" s="81">
        <v>13.176987499999989</v>
      </c>
      <c r="J151" s="81">
        <v>37.565490594872244</v>
      </c>
    </row>
    <row r="152" spans="2:10">
      <c r="B152" s="81">
        <v>1.1839999999999982</v>
      </c>
      <c r="C152" s="81">
        <v>3</v>
      </c>
      <c r="D152" s="81">
        <v>1.4799999999999978</v>
      </c>
      <c r="E152" s="81">
        <v>2.9599999999999955</v>
      </c>
      <c r="F152" s="81">
        <v>6.1666666666666563</v>
      </c>
      <c r="G152" s="81">
        <v>3.9269875000000001</v>
      </c>
      <c r="H152" s="81">
        <v>76.606901579602479</v>
      </c>
      <c r="I152" s="81">
        <v>13.05365416666665</v>
      </c>
      <c r="J152" s="81">
        <v>36.915946588391371</v>
      </c>
    </row>
    <row r="153" spans="2:10">
      <c r="B153" s="81">
        <v>1.1679999999999982</v>
      </c>
      <c r="C153" s="81">
        <v>3</v>
      </c>
      <c r="D153" s="81">
        <v>1.4599999999999977</v>
      </c>
      <c r="E153" s="81">
        <v>2.9199999999999955</v>
      </c>
      <c r="F153" s="81">
        <v>6.0833333333333233</v>
      </c>
      <c r="G153" s="81">
        <v>3.9269875000000001</v>
      </c>
      <c r="H153" s="81">
        <v>77.337601509630062</v>
      </c>
      <c r="I153" s="81">
        <v>12.930320833333319</v>
      </c>
      <c r="J153" s="81">
        <v>36.267622903143938</v>
      </c>
    </row>
    <row r="154" spans="2:10">
      <c r="B154" s="81">
        <v>1.1519999999999981</v>
      </c>
      <c r="C154" s="81">
        <v>3</v>
      </c>
      <c r="D154" s="81">
        <v>1.4399999999999977</v>
      </c>
      <c r="E154" s="81">
        <v>2.8799999999999955</v>
      </c>
      <c r="F154" s="81">
        <v>5.9999999999999902</v>
      </c>
      <c r="G154" s="81">
        <v>3.9269875000000001</v>
      </c>
      <c r="H154" s="81">
        <v>78.082374953516677</v>
      </c>
      <c r="I154" s="81">
        <v>12.806987499999984</v>
      </c>
      <c r="J154" s="81">
        <v>35.620554794794572</v>
      </c>
    </row>
    <row r="155" spans="2:10">
      <c r="B155" s="81">
        <v>1.1359999999999981</v>
      </c>
      <c r="C155" s="81">
        <v>3</v>
      </c>
      <c r="D155" s="81">
        <v>1.4199999999999977</v>
      </c>
      <c r="E155" s="81">
        <v>2.8399999999999954</v>
      </c>
      <c r="F155" s="81">
        <v>5.9166666666666563</v>
      </c>
      <c r="G155" s="81">
        <v>3.9269875000000001</v>
      </c>
      <c r="H155" s="81">
        <v>78.841632455420893</v>
      </c>
      <c r="I155" s="81">
        <v>12.683654166666653</v>
      </c>
      <c r="J155" s="81">
        <v>34.974778890284242</v>
      </c>
    </row>
    <row r="156" spans="2:10">
      <c r="B156" s="81">
        <v>1.1199999999999981</v>
      </c>
      <c r="C156" s="81">
        <v>3</v>
      </c>
      <c r="D156" s="81">
        <v>1.3999999999999977</v>
      </c>
      <c r="E156" s="81">
        <v>2.7999999999999954</v>
      </c>
      <c r="F156" s="81">
        <v>5.8333333333333233</v>
      </c>
      <c r="G156" s="81">
        <v>3.9269875000000001</v>
      </c>
      <c r="H156" s="81">
        <v>79.615800684496946</v>
      </c>
      <c r="I156" s="81">
        <v>12.560320833333318</v>
      </c>
      <c r="J156" s="81">
        <v>34.330333255154976</v>
      </c>
    </row>
    <row r="157" spans="2:10">
      <c r="B157" s="81">
        <v>1.1039999999999981</v>
      </c>
      <c r="C157" s="81">
        <v>3</v>
      </c>
      <c r="D157" s="81">
        <v>1.3799999999999975</v>
      </c>
      <c r="E157" s="81">
        <v>2.7599999999999949</v>
      </c>
      <c r="F157" s="81">
        <v>5.7499999999999902</v>
      </c>
      <c r="G157" s="81">
        <v>3.9269875000000001</v>
      </c>
      <c r="H157" s="81">
        <v>80.405323234424827</v>
      </c>
      <c r="I157" s="81">
        <v>12.436987499999987</v>
      </c>
      <c r="J157" s="81">
        <v>33.687257464880375</v>
      </c>
    </row>
    <row r="158" spans="2:10">
      <c r="B158" s="81">
        <v>1.0879999999999981</v>
      </c>
      <c r="C158" s="81">
        <v>3</v>
      </c>
      <c r="D158" s="81">
        <v>1.3599999999999974</v>
      </c>
      <c r="E158" s="81">
        <v>2.7199999999999949</v>
      </c>
      <c r="F158" s="81">
        <v>5.6666666666666563</v>
      </c>
      <c r="G158" s="81">
        <v>3.9269875000000001</v>
      </c>
      <c r="H158" s="81">
        <v>81.210661470989109</v>
      </c>
      <c r="I158" s="81">
        <v>12.313654166666652</v>
      </c>
      <c r="J158" s="81">
        <v>33.045592680483004</v>
      </c>
    </row>
    <row r="159" spans="2:10">
      <c r="B159" s="81">
        <v>1.0719999999999981</v>
      </c>
      <c r="C159" s="81">
        <v>3</v>
      </c>
      <c r="D159" s="81">
        <v>1.3399999999999976</v>
      </c>
      <c r="E159" s="81">
        <v>2.6799999999999953</v>
      </c>
      <c r="F159" s="81">
        <v>5.5833333333333233</v>
      </c>
      <c r="G159" s="81">
        <v>3.9269875000000001</v>
      </c>
      <c r="H159" s="81">
        <v>82.032295431108878</v>
      </c>
      <c r="I159" s="81">
        <v>12.190320833333317</v>
      </c>
      <c r="J159" s="81">
        <v>32.405381728741695</v>
      </c>
    </row>
    <row r="160" spans="2:10">
      <c r="B160" s="81">
        <v>1.0559999999999981</v>
      </c>
      <c r="C160" s="81">
        <v>3</v>
      </c>
      <c r="D160" s="81">
        <v>1.3199999999999976</v>
      </c>
      <c r="E160" s="81">
        <v>2.6399999999999952</v>
      </c>
      <c r="F160" s="81">
        <v>5.4999999999999911</v>
      </c>
      <c r="G160" s="81">
        <v>3.9269875000000001</v>
      </c>
      <c r="H160" s="81">
        <v>82.870724777000149</v>
      </c>
      <c r="I160" s="81">
        <v>12.066987499999986</v>
      </c>
      <c r="J160" s="81">
        <v>31.766669187317799</v>
      </c>
    </row>
    <row r="161" spans="2:10">
      <c r="B161" s="81">
        <v>1.039999999999998</v>
      </c>
      <c r="C161" s="81">
        <v>3</v>
      </c>
      <c r="D161" s="81">
        <v>1.2999999999999976</v>
      </c>
      <c r="E161" s="81">
        <v>2.5999999999999952</v>
      </c>
      <c r="F161" s="81">
        <v>5.4166666666666563</v>
      </c>
      <c r="G161" s="81">
        <v>3.9269875000000001</v>
      </c>
      <c r="H161" s="81">
        <v>83.726469809456106</v>
      </c>
      <c r="I161" s="81">
        <v>11.943654166666651</v>
      </c>
      <c r="J161" s="81">
        <v>31.129501475155664</v>
      </c>
    </row>
    <row r="162" spans="2:10">
      <c r="B162" s="81">
        <v>1.023999999999998</v>
      </c>
      <c r="C162" s="81">
        <v>3</v>
      </c>
      <c r="D162" s="81">
        <v>1.2799999999999976</v>
      </c>
      <c r="E162" s="81">
        <v>2.5599999999999952</v>
      </c>
      <c r="F162" s="81">
        <v>5.3333333333333233</v>
      </c>
      <c r="G162" s="81">
        <v>3.9269875000000001</v>
      </c>
      <c r="H162" s="81">
        <v>84.600072544562309</v>
      </c>
      <c r="I162" s="81">
        <v>11.820320833333319</v>
      </c>
      <c r="J162" s="81">
        <v>30.493926948542285</v>
      </c>
    </row>
    <row r="163" spans="2:10">
      <c r="B163" s="81">
        <v>1.007999999999998</v>
      </c>
      <c r="C163" s="81">
        <v>3</v>
      </c>
      <c r="D163" s="81">
        <v>1.2599999999999973</v>
      </c>
      <c r="E163" s="81">
        <v>2.5199999999999947</v>
      </c>
      <c r="F163" s="81">
        <v>5.2499999999999885</v>
      </c>
      <c r="G163" s="81">
        <v>3.9269875000000001</v>
      </c>
      <c r="H163" s="81">
        <v>85.492097858529931</v>
      </c>
      <c r="I163" s="81">
        <v>11.696987499999985</v>
      </c>
      <c r="J163" s="81">
        <v>29.859996003244344</v>
      </c>
    </row>
    <row r="164" spans="2:10">
      <c r="B164" s="81">
        <v>0.99199999999999811</v>
      </c>
      <c r="C164" s="81">
        <v>3</v>
      </c>
      <c r="D164" s="81">
        <v>1.2399999999999975</v>
      </c>
      <c r="E164" s="81">
        <v>2.4799999999999951</v>
      </c>
      <c r="F164" s="81">
        <v>5.1666666666666563</v>
      </c>
      <c r="G164" s="81">
        <v>3.9269875000000001</v>
      </c>
      <c r="H164" s="81">
        <v>86.40313470572724</v>
      </c>
      <c r="I164" s="81">
        <v>11.573654166666651</v>
      </c>
      <c r="J164" s="81">
        <v>29.227761183175648</v>
      </c>
    </row>
    <row r="165" spans="2:10">
      <c r="B165" s="81">
        <v>0.97599999999999809</v>
      </c>
      <c r="C165" s="81">
        <v>3</v>
      </c>
      <c r="D165" s="81">
        <v>1.2199999999999975</v>
      </c>
      <c r="E165" s="81">
        <v>2.4399999999999951</v>
      </c>
      <c r="F165" s="81">
        <v>5.0833333333333233</v>
      </c>
      <c r="G165" s="81">
        <v>3.9269875000000001</v>
      </c>
      <c r="H165" s="81">
        <v>87.33379741542916</v>
      </c>
      <c r="I165" s="81">
        <v>11.450320833333318</v>
      </c>
      <c r="J165" s="81">
        <v>28.597277296087334</v>
      </c>
    </row>
    <row r="166" spans="2:10">
      <c r="B166" s="81">
        <v>0.95999999999999808</v>
      </c>
      <c r="C166" s="81">
        <v>3</v>
      </c>
      <c r="D166" s="81">
        <v>1.1999999999999975</v>
      </c>
      <c r="E166" s="81">
        <v>2.399999999999995</v>
      </c>
      <c r="F166" s="81">
        <v>4.9999999999999902</v>
      </c>
      <c r="G166" s="81">
        <v>3.9269875000000001</v>
      </c>
      <c r="H166" s="81">
        <v>88.284727073284159</v>
      </c>
      <c r="I166" s="81">
        <v>11.326987499999985</v>
      </c>
      <c r="J166" s="81">
        <v>27.968601536816305</v>
      </c>
    </row>
    <row r="167" spans="2:10">
      <c r="B167" s="81">
        <v>0.94399999999999806</v>
      </c>
      <c r="C167" s="81">
        <v>3</v>
      </c>
      <c r="D167" s="81">
        <v>1.1799999999999977</v>
      </c>
      <c r="E167" s="81">
        <v>2.3599999999999954</v>
      </c>
      <c r="F167" s="81">
        <v>4.9166666666666572</v>
      </c>
      <c r="G167" s="81">
        <v>3.9269875000000001</v>
      </c>
      <c r="H167" s="81">
        <v>89.256592994026988</v>
      </c>
      <c r="I167" s="81">
        <v>11.203654166666652</v>
      </c>
      <c r="J167" s="81">
        <v>27.341793618674195</v>
      </c>
    </row>
    <row r="168" spans="2:10">
      <c r="B168" s="81">
        <v>0.92799999999999805</v>
      </c>
      <c r="C168" s="81">
        <v>3</v>
      </c>
      <c r="D168" s="81">
        <v>1.1599999999999977</v>
      </c>
      <c r="E168" s="81">
        <v>2.3199999999999954</v>
      </c>
      <c r="F168" s="81">
        <v>4.8333333333333233</v>
      </c>
      <c r="G168" s="81">
        <v>3.9269875000000001</v>
      </c>
      <c r="H168" s="81">
        <v>90.250094292546564</v>
      </c>
      <c r="I168" s="81">
        <v>11.080320833333317</v>
      </c>
      <c r="J168" s="81">
        <v>26.716915913611043</v>
      </c>
    </row>
    <row r="169" spans="2:10">
      <c r="B169" s="81">
        <v>0.91199999999999803</v>
      </c>
      <c r="C169" s="81">
        <v>3</v>
      </c>
      <c r="D169" s="81">
        <v>1.1399999999999975</v>
      </c>
      <c r="E169" s="81">
        <v>2.2799999999999949</v>
      </c>
      <c r="F169" s="81">
        <v>4.7499999999999902</v>
      </c>
      <c r="G169" s="81">
        <v>3.9269875000000001</v>
      </c>
      <c r="H169" s="81">
        <v>91.265961561058759</v>
      </c>
      <c r="I169" s="81">
        <v>10.956987499999986</v>
      </c>
      <c r="J169" s="81">
        <v>26.094033601845318</v>
      </c>
    </row>
    <row r="170" spans="2:10">
      <c r="B170" s="81">
        <v>0.89599999999999802</v>
      </c>
      <c r="C170" s="81">
        <v>4</v>
      </c>
      <c r="D170" s="81">
        <v>1.1199999999999974</v>
      </c>
      <c r="E170" s="81">
        <v>2.2399999999999949</v>
      </c>
      <c r="F170" s="81">
        <v>4.6666666666666563</v>
      </c>
      <c r="G170" s="81">
        <v>5.4977824999999996</v>
      </c>
      <c r="H170" s="81">
        <v>80.616235881493949</v>
      </c>
      <c r="I170" s="81">
        <v>12.404449166666652</v>
      </c>
      <c r="J170" s="81">
        <v>22.247501383744019</v>
      </c>
    </row>
    <row r="171" spans="2:10">
      <c r="B171" s="81">
        <v>0.87999999999999801</v>
      </c>
      <c r="C171" s="81">
        <v>4</v>
      </c>
      <c r="D171" s="81">
        <v>1.0999999999999974</v>
      </c>
      <c r="E171" s="81">
        <v>2.1999999999999948</v>
      </c>
      <c r="F171" s="81">
        <v>4.5833333333333233</v>
      </c>
      <c r="G171" s="81">
        <v>5.4977824999999996</v>
      </c>
      <c r="H171" s="81">
        <v>81.425825924205284</v>
      </c>
      <c r="I171" s="81">
        <v>12.281115833333317</v>
      </c>
      <c r="J171" s="81">
        <v>21.675554861023343</v>
      </c>
    </row>
    <row r="172" spans="2:10">
      <c r="B172" s="81">
        <v>0.86399999999999799</v>
      </c>
      <c r="C172" s="81">
        <v>4</v>
      </c>
      <c r="D172" s="81">
        <v>1.0799999999999974</v>
      </c>
      <c r="E172" s="81">
        <v>2.1599999999999948</v>
      </c>
      <c r="F172" s="81">
        <v>4.4999999999999902</v>
      </c>
      <c r="G172" s="81">
        <v>5.4977824999999996</v>
      </c>
      <c r="H172" s="81">
        <v>82.251841567325386</v>
      </c>
      <c r="I172" s="81">
        <v>12.157782499999986</v>
      </c>
      <c r="J172" s="81">
        <v>21.106480560908132</v>
      </c>
    </row>
    <row r="173" spans="2:10">
      <c r="B173" s="81">
        <v>0.84799999999999798</v>
      </c>
      <c r="C173" s="81">
        <v>4</v>
      </c>
      <c r="D173" s="81">
        <v>1.0599999999999976</v>
      </c>
      <c r="E173" s="81">
        <v>2.1199999999999948</v>
      </c>
      <c r="F173" s="81">
        <v>4.4166666666666563</v>
      </c>
      <c r="G173" s="81">
        <v>5.4977824999999996</v>
      </c>
      <c r="H173" s="81">
        <v>83.094787817113186</v>
      </c>
      <c r="I173" s="81">
        <v>12.034449166666651</v>
      </c>
      <c r="J173" s="81">
        <v>20.540366790087752</v>
      </c>
    </row>
    <row r="174" spans="2:10">
      <c r="B174" s="81">
        <v>0.83199999999999796</v>
      </c>
      <c r="C174" s="81">
        <v>4</v>
      </c>
      <c r="D174" s="81">
        <v>1.0399999999999976</v>
      </c>
      <c r="E174" s="81">
        <v>2.0799999999999952</v>
      </c>
      <c r="F174" s="81">
        <v>4.3333333333333233</v>
      </c>
      <c r="G174" s="81">
        <v>5.4977824999999996</v>
      </c>
      <c r="H174" s="81">
        <v>83.955190596123245</v>
      </c>
      <c r="I174" s="81">
        <v>11.911115833333318</v>
      </c>
      <c r="J174" s="81">
        <v>19.977305512728627</v>
      </c>
    </row>
    <row r="175" spans="2:10">
      <c r="B175" s="81">
        <v>0.81599999999999795</v>
      </c>
      <c r="C175" s="81">
        <v>4</v>
      </c>
      <c r="D175" s="81">
        <v>1.0199999999999976</v>
      </c>
      <c r="E175" s="81">
        <v>2.0399999999999952</v>
      </c>
      <c r="F175" s="81">
        <v>4.2499999999999902</v>
      </c>
      <c r="G175" s="81">
        <v>5.4977824999999996</v>
      </c>
      <c r="H175" s="81">
        <v>84.833597837422033</v>
      </c>
      <c r="I175" s="81">
        <v>11.787782499999985</v>
      </c>
      <c r="J175" s="81">
        <v>19.417392541811765</v>
      </c>
    </row>
    <row r="176" spans="2:10">
      <c r="B176" s="81">
        <v>0.79999999999999793</v>
      </c>
      <c r="C176" s="81" t="s">
        <v>165</v>
      </c>
      <c r="D176" s="81">
        <v>0.99999999999999745</v>
      </c>
      <c r="E176" s="81">
        <v>1.9999999999999949</v>
      </c>
      <c r="F176" s="81">
        <v>4.1666666666666563</v>
      </c>
      <c r="G176" s="81">
        <v>0</v>
      </c>
      <c r="H176" s="81">
        <v>39.215686274509757</v>
      </c>
      <c r="I176" s="81">
        <v>25.500000000000032</v>
      </c>
      <c r="J176" s="81">
        <v>8.6274509803921031</v>
      </c>
    </row>
    <row r="177" spans="2:10">
      <c r="B177" s="81">
        <v>0.78399999999999792</v>
      </c>
      <c r="C177" s="81" t="s">
        <v>165</v>
      </c>
      <c r="D177" s="81">
        <v>0.97999999999999732</v>
      </c>
      <c r="E177" s="81">
        <v>1.9599999999999946</v>
      </c>
      <c r="F177" s="81">
        <v>4.0833333333333224</v>
      </c>
      <c r="G177" s="81">
        <v>0</v>
      </c>
      <c r="H177" s="81">
        <v>38.850038850038807</v>
      </c>
      <c r="I177" s="81">
        <v>25.740000000000027</v>
      </c>
      <c r="J177" s="81">
        <v>8.2085470085469545</v>
      </c>
    </row>
    <row r="178" spans="2:10">
      <c r="B178" s="81">
        <v>0.76799999999999791</v>
      </c>
      <c r="C178" s="81" t="s">
        <v>165</v>
      </c>
      <c r="D178" s="81">
        <v>0.95999999999999741</v>
      </c>
      <c r="E178" s="81">
        <v>1.9199999999999948</v>
      </c>
      <c r="F178" s="81">
        <v>3.9999999999999893</v>
      </c>
      <c r="G178" s="81">
        <v>0</v>
      </c>
      <c r="H178" s="81">
        <v>38.491147036181637</v>
      </c>
      <c r="I178" s="81">
        <v>25.980000000000029</v>
      </c>
      <c r="J178" s="81">
        <v>7.804157043879858</v>
      </c>
    </row>
    <row r="179" spans="2:10">
      <c r="B179" s="81">
        <v>0.75199999999999789</v>
      </c>
      <c r="C179" s="81" t="s">
        <v>165</v>
      </c>
      <c r="D179" s="81">
        <v>0.93999999999999739</v>
      </c>
      <c r="E179" s="81">
        <v>1.8799999999999948</v>
      </c>
      <c r="F179" s="81">
        <v>3.9166666666666559</v>
      </c>
      <c r="G179" s="81">
        <v>0</v>
      </c>
      <c r="H179" s="81">
        <v>38.138825324179969</v>
      </c>
      <c r="I179" s="81">
        <v>26.220000000000031</v>
      </c>
      <c r="J179" s="81">
        <v>7.4138825324179507</v>
      </c>
    </row>
    <row r="180" spans="2:10">
      <c r="B180" s="81">
        <v>0.73599999999999788</v>
      </c>
      <c r="C180" s="81" t="s">
        <v>165</v>
      </c>
      <c r="D180" s="81">
        <v>0.91999999999999726</v>
      </c>
      <c r="E180" s="81">
        <v>1.8399999999999945</v>
      </c>
      <c r="F180" s="81">
        <v>3.8333333333333224</v>
      </c>
      <c r="G180" s="81">
        <v>0</v>
      </c>
      <c r="H180" s="81">
        <v>37.792894935752031</v>
      </c>
      <c r="I180" s="81">
        <v>26.460000000000033</v>
      </c>
      <c r="J180" s="81">
        <v>7.0373393801964736</v>
      </c>
    </row>
    <row r="181" spans="2:10">
      <c r="B181" s="81">
        <v>0.71999999999999786</v>
      </c>
      <c r="C181" s="81" t="s">
        <v>165</v>
      </c>
      <c r="D181" s="81">
        <v>0.89999999999999736</v>
      </c>
      <c r="E181" s="81">
        <v>1.7999999999999947</v>
      </c>
      <c r="F181" s="81">
        <v>3.7499999999999893</v>
      </c>
      <c r="G181" s="81">
        <v>0</v>
      </c>
      <c r="H181" s="81">
        <v>37.453183520599204</v>
      </c>
      <c r="I181" s="81">
        <v>26.700000000000035</v>
      </c>
      <c r="J181" s="81">
        <v>6.6741573033707393</v>
      </c>
    </row>
    <row r="182" spans="2:10">
      <c r="B182" s="81">
        <v>0.70399999999999785</v>
      </c>
      <c r="C182" s="81" t="s">
        <v>165</v>
      </c>
      <c r="D182" s="81">
        <v>0.87999999999999734</v>
      </c>
      <c r="E182" s="81">
        <v>1.7599999999999947</v>
      </c>
      <c r="F182" s="81">
        <v>3.6666666666666559</v>
      </c>
      <c r="G182" s="81">
        <v>0</v>
      </c>
      <c r="H182" s="81">
        <v>37.119524870081619</v>
      </c>
      <c r="I182" s="81">
        <v>26.94000000000003</v>
      </c>
      <c r="J182" s="81">
        <v>6.3239792130660275</v>
      </c>
    </row>
    <row r="183" spans="2:10">
      <c r="B183" s="81">
        <v>0.68799999999999784</v>
      </c>
      <c r="C183" s="81" t="s">
        <v>165</v>
      </c>
      <c r="D183" s="81">
        <v>0.85999999999999732</v>
      </c>
      <c r="E183" s="81">
        <v>1.7199999999999946</v>
      </c>
      <c r="F183" s="81">
        <v>3.5833333333333224</v>
      </c>
      <c r="G183" s="81">
        <v>0</v>
      </c>
      <c r="H183" s="81">
        <v>36.791758646063236</v>
      </c>
      <c r="I183" s="81">
        <v>27.180000000000032</v>
      </c>
      <c r="J183" s="81">
        <v>5.9864606328182042</v>
      </c>
    </row>
    <row r="184" spans="2:10">
      <c r="B184" s="81">
        <v>0.67199999999999782</v>
      </c>
      <c r="C184" s="81" t="s">
        <v>165</v>
      </c>
      <c r="D184" s="81">
        <v>0.8399999999999973</v>
      </c>
      <c r="E184" s="81">
        <v>1.6799999999999946</v>
      </c>
      <c r="F184" s="81">
        <v>3.4999999999999885</v>
      </c>
      <c r="G184" s="81">
        <v>0</v>
      </c>
      <c r="H184" s="81">
        <v>36.469730123997039</v>
      </c>
      <c r="I184" s="81">
        <v>27.420000000000034</v>
      </c>
      <c r="J184" s="81">
        <v>5.6612691466082721</v>
      </c>
    </row>
    <row r="185" spans="2:10">
      <c r="B185" s="81">
        <v>0.65599999999999781</v>
      </c>
      <c r="C185" s="81" t="s">
        <v>165</v>
      </c>
      <c r="D185" s="81">
        <v>0.81999999999999729</v>
      </c>
      <c r="E185" s="81">
        <v>1.6399999999999946</v>
      </c>
      <c r="F185" s="81">
        <v>3.416666666666655</v>
      </c>
      <c r="G185" s="81">
        <v>0</v>
      </c>
      <c r="H185" s="81">
        <v>36.153289949385353</v>
      </c>
      <c r="I185" s="81">
        <v>27.660000000000032</v>
      </c>
      <c r="J185" s="81">
        <v>5.3480838756326419</v>
      </c>
    </row>
    <row r="186" spans="2:10">
      <c r="B186" s="81">
        <v>0.63999999999999779</v>
      </c>
      <c r="C186" s="81" t="s">
        <v>165</v>
      </c>
      <c r="D186" s="81">
        <v>0.79999999999999727</v>
      </c>
      <c r="E186" s="81">
        <v>1.5999999999999945</v>
      </c>
      <c r="F186" s="81">
        <v>3.3333333333333224</v>
      </c>
      <c r="G186" s="81">
        <v>0</v>
      </c>
      <c r="H186" s="81">
        <v>35.842293906809992</v>
      </c>
      <c r="I186" s="81">
        <v>27.900000000000034</v>
      </c>
      <c r="J186" s="81">
        <v>5.0465949820788136</v>
      </c>
    </row>
    <row r="187" spans="2:10">
      <c r="B187" s="81">
        <v>0.62399999999999778</v>
      </c>
      <c r="C187" s="81" t="s">
        <v>165</v>
      </c>
      <c r="D187" s="81">
        <v>0.77999999999999725</v>
      </c>
      <c r="E187" s="81">
        <v>1.5599999999999945</v>
      </c>
      <c r="F187" s="81">
        <v>3.2499999999999885</v>
      </c>
      <c r="G187" s="81">
        <v>0</v>
      </c>
      <c r="H187" s="81">
        <v>35.536602700781764</v>
      </c>
      <c r="I187" s="81">
        <v>28.140000000000033</v>
      </c>
      <c r="J187" s="81">
        <v>4.7565031982942054</v>
      </c>
    </row>
    <row r="188" spans="2:10">
      <c r="B188" s="81">
        <v>0.60799999999999776</v>
      </c>
      <c r="C188" s="81" t="s">
        <v>165</v>
      </c>
      <c r="D188" s="81">
        <v>0.75999999999999723</v>
      </c>
      <c r="E188" s="81">
        <v>1.5199999999999945</v>
      </c>
      <c r="F188" s="81">
        <v>3.1666666666666554</v>
      </c>
      <c r="G188" s="81">
        <v>0</v>
      </c>
      <c r="H188" s="81">
        <v>35.236081747709612</v>
      </c>
      <c r="I188" s="81">
        <v>28.380000000000035</v>
      </c>
      <c r="J188" s="81">
        <v>4.4775193798449235</v>
      </c>
    </row>
    <row r="189" spans="2:10">
      <c r="B189" s="81">
        <v>0.59199999999999775</v>
      </c>
      <c r="C189" s="81" t="s">
        <v>165</v>
      </c>
      <c r="D189" s="81">
        <v>0.73999999999999722</v>
      </c>
      <c r="E189" s="81">
        <v>1.4799999999999947</v>
      </c>
      <c r="F189" s="81">
        <v>3.0833333333333219</v>
      </c>
      <c r="G189" s="81">
        <v>0</v>
      </c>
      <c r="H189" s="81">
        <v>34.940600978336789</v>
      </c>
      <c r="I189" s="81">
        <v>28.620000000000033</v>
      </c>
      <c r="J189" s="81">
        <v>4.2093640810621578</v>
      </c>
    </row>
    <row r="190" spans="2:10">
      <c r="B190" s="81">
        <v>0.57599999999999774</v>
      </c>
      <c r="C190" s="81" t="s">
        <v>165</v>
      </c>
      <c r="D190" s="81">
        <v>0.71999999999999709</v>
      </c>
      <c r="E190" s="81">
        <v>1.4399999999999942</v>
      </c>
      <c r="F190" s="81">
        <v>2.9999999999999871</v>
      </c>
      <c r="G190" s="81">
        <v>0</v>
      </c>
      <c r="H190" s="81">
        <v>34.650034650034605</v>
      </c>
      <c r="I190" s="81">
        <v>28.860000000000035</v>
      </c>
      <c r="J190" s="81">
        <v>3.9517671517671147</v>
      </c>
    </row>
    <row r="191" spans="2:10">
      <c r="B191" s="81">
        <v>0.55999999999999772</v>
      </c>
      <c r="C191" s="81" t="s">
        <v>165</v>
      </c>
      <c r="D191" s="81">
        <v>0.69999999999999718</v>
      </c>
      <c r="E191" s="81">
        <v>1.3999999999999944</v>
      </c>
      <c r="F191" s="81">
        <v>2.9166666666666545</v>
      </c>
      <c r="G191" s="81">
        <v>0</v>
      </c>
      <c r="H191" s="81">
        <v>34.364261168384836</v>
      </c>
      <c r="I191" s="81">
        <v>29.100000000000037</v>
      </c>
      <c r="J191" s="81">
        <v>3.704467353951856</v>
      </c>
    </row>
    <row r="192" spans="2:10">
      <c r="B192" s="81">
        <v>0.54399999999999771</v>
      </c>
      <c r="C192" s="81" t="s">
        <v>165</v>
      </c>
      <c r="D192" s="81">
        <v>0.67999999999999716</v>
      </c>
      <c r="E192" s="81">
        <v>1.3599999999999943</v>
      </c>
      <c r="F192" s="81">
        <v>2.8333333333333215</v>
      </c>
      <c r="G192" s="81">
        <v>0</v>
      </c>
      <c r="H192" s="81">
        <v>34.083162917518706</v>
      </c>
      <c r="I192" s="81">
        <v>29.340000000000035</v>
      </c>
      <c r="J192" s="81">
        <v>3.4672119972733144</v>
      </c>
    </row>
    <row r="193" spans="2:10">
      <c r="B193" s="81">
        <v>0.52799999999999769</v>
      </c>
      <c r="C193" s="81" t="s">
        <v>165</v>
      </c>
      <c r="D193" s="81">
        <v>0.65999999999999703</v>
      </c>
      <c r="E193" s="81">
        <v>1.3199999999999941</v>
      </c>
      <c r="F193" s="81">
        <v>2.7499999999999876</v>
      </c>
      <c r="G193" s="81">
        <v>0</v>
      </c>
      <c r="H193" s="81">
        <v>33.806626098715306</v>
      </c>
      <c r="I193" s="81">
        <v>29.580000000000034</v>
      </c>
      <c r="J193" s="81">
        <v>3.2397565922920566</v>
      </c>
    </row>
    <row r="194" spans="2:10">
      <c r="B194" s="81">
        <v>0.51199999999999768</v>
      </c>
      <c r="C194" s="81" t="s">
        <v>165</v>
      </c>
      <c r="D194" s="81">
        <v>0.63999999999999713</v>
      </c>
      <c r="E194" s="81">
        <v>1.2799999999999943</v>
      </c>
      <c r="F194" s="81">
        <v>2.6666666666666545</v>
      </c>
      <c r="G194" s="81">
        <v>0</v>
      </c>
      <c r="H194" s="81">
        <v>33.534540576794058</v>
      </c>
      <c r="I194" s="81">
        <v>29.820000000000036</v>
      </c>
      <c r="J194" s="81">
        <v>3.021864520456039</v>
      </c>
    </row>
    <row r="195" spans="2:10">
      <c r="B195" s="81">
        <v>0.49599999999999761</v>
      </c>
      <c r="C195" s="81" t="s">
        <v>165</v>
      </c>
      <c r="D195" s="81">
        <v>0.619999999999997</v>
      </c>
      <c r="E195" s="81">
        <v>1.239999999999994</v>
      </c>
      <c r="F195" s="81">
        <v>2.583333333333321</v>
      </c>
      <c r="G195" s="81">
        <v>0</v>
      </c>
      <c r="H195" s="81">
        <v>33.266799733865561</v>
      </c>
      <c r="I195" s="81">
        <v>30.060000000000038</v>
      </c>
      <c r="J195" s="81">
        <v>2.8133067198935158</v>
      </c>
    </row>
    <row r="196" spans="2:10">
      <c r="B196" s="81">
        <v>0.4799999999999976</v>
      </c>
      <c r="C196" s="81" t="s">
        <v>165</v>
      </c>
      <c r="D196" s="81">
        <v>0.59999999999999698</v>
      </c>
      <c r="E196" s="81">
        <v>1.199999999999994</v>
      </c>
      <c r="F196" s="81">
        <v>2.4999999999999871</v>
      </c>
      <c r="G196" s="81">
        <v>0</v>
      </c>
      <c r="H196" s="81">
        <v>33.003300330032957</v>
      </c>
      <c r="I196" s="81">
        <v>30.30000000000004</v>
      </c>
      <c r="J196" s="81">
        <v>2.6138613861385838</v>
      </c>
    </row>
    <row r="197" spans="2:10">
      <c r="B197" s="81">
        <v>0.46399999999999758</v>
      </c>
      <c r="C197" s="81" t="s">
        <v>165</v>
      </c>
      <c r="D197" s="81">
        <v>0.57999999999999696</v>
      </c>
      <c r="E197" s="81">
        <v>1.1599999999999939</v>
      </c>
      <c r="F197" s="81">
        <v>2.4166666666666541</v>
      </c>
      <c r="G197" s="81">
        <v>0</v>
      </c>
      <c r="H197" s="81">
        <v>32.743942370661387</v>
      </c>
      <c r="I197" s="81">
        <v>30.540000000000035</v>
      </c>
      <c r="J197" s="81">
        <v>2.4233136869678829</v>
      </c>
    </row>
    <row r="198" spans="2:10">
      <c r="B198" s="81">
        <v>0.44799999999999757</v>
      </c>
      <c r="C198" s="81" t="s">
        <v>165</v>
      </c>
      <c r="D198" s="81">
        <v>0.55999999999999694</v>
      </c>
      <c r="E198" s="81">
        <v>1.1199999999999939</v>
      </c>
      <c r="F198" s="81">
        <v>2.3333333333333206</v>
      </c>
      <c r="G198" s="81">
        <v>0</v>
      </c>
      <c r="H198" s="81">
        <v>32.488628979857012</v>
      </c>
      <c r="I198" s="81">
        <v>30.780000000000033</v>
      </c>
      <c r="J198" s="81">
        <v>2.2414554905782711</v>
      </c>
    </row>
    <row r="199" spans="2:10">
      <c r="B199" s="81">
        <v>0.43199999999999755</v>
      </c>
      <c r="C199" s="81" t="s">
        <v>165</v>
      </c>
      <c r="D199" s="81">
        <v>0.53999999999999693</v>
      </c>
      <c r="E199" s="81">
        <v>1.0799999999999939</v>
      </c>
      <c r="F199" s="81">
        <v>2.2499999999999871</v>
      </c>
      <c r="G199" s="81">
        <v>0</v>
      </c>
      <c r="H199" s="81">
        <v>32.23726627981943</v>
      </c>
      <c r="I199" s="81">
        <v>31.020000000000039</v>
      </c>
      <c r="J199" s="81">
        <v>2.0680851063829526</v>
      </c>
    </row>
    <row r="200" spans="2:10">
      <c r="B200" s="81">
        <v>0.41599999999999754</v>
      </c>
      <c r="C200" s="81" t="s">
        <v>165</v>
      </c>
      <c r="D200" s="81">
        <v>0.51999999999999691</v>
      </c>
      <c r="E200" s="81">
        <v>1.0399999999999938</v>
      </c>
      <c r="F200" s="81">
        <v>2.1666666666666541</v>
      </c>
      <c r="G200" s="81">
        <v>0</v>
      </c>
      <c r="H200" s="81">
        <v>31.989763275751724</v>
      </c>
      <c r="I200" s="81">
        <v>31.260000000000037</v>
      </c>
      <c r="J200" s="81">
        <v>1.903007037747896</v>
      </c>
    </row>
    <row r="201" spans="2:10">
      <c r="B201" s="81"/>
      <c r="C201" s="81"/>
      <c r="D201" s="81"/>
      <c r="E201" s="81"/>
      <c r="F201" s="81"/>
      <c r="G201" s="81"/>
      <c r="H201" s="81"/>
      <c r="I201" s="81"/>
      <c r="J201" s="81"/>
    </row>
    <row r="202" spans="2:10">
      <c r="B202" s="81"/>
      <c r="C202" s="81"/>
      <c r="D202" s="81"/>
      <c r="E202" s="81"/>
      <c r="F202" s="81"/>
      <c r="G202" s="81"/>
      <c r="H202" s="81"/>
      <c r="I202" s="81"/>
      <c r="J202" s="81"/>
    </row>
    <row r="203" spans="2:10">
      <c r="B203" s="81"/>
      <c r="C203" s="81"/>
      <c r="D203" s="81"/>
      <c r="E203" s="81"/>
      <c r="F203" s="81"/>
      <c r="G203" s="81"/>
      <c r="H203" s="81"/>
      <c r="I203" s="81"/>
      <c r="J203" s="81"/>
    </row>
    <row r="204" spans="2:10">
      <c r="B204" s="81"/>
      <c r="C204" s="81"/>
      <c r="D204" s="81"/>
      <c r="E204" s="81"/>
      <c r="F204" s="81"/>
      <c r="G204" s="81"/>
      <c r="H204" s="81"/>
      <c r="I204" s="81"/>
      <c r="J204" s="81"/>
    </row>
    <row r="205" spans="2:10">
      <c r="B205" s="81"/>
      <c r="C205" s="81"/>
      <c r="D205" s="81"/>
      <c r="E205" s="81"/>
      <c r="F205" s="81"/>
      <c r="G205" s="81"/>
      <c r="H205" s="81"/>
      <c r="I205" s="81"/>
      <c r="J205" s="81"/>
    </row>
    <row r="206" spans="2:10">
      <c r="B206" s="81"/>
      <c r="C206" s="81"/>
      <c r="D206" s="81"/>
      <c r="E206" s="81"/>
      <c r="F206" s="81"/>
      <c r="G206" s="81"/>
      <c r="H206" s="81"/>
      <c r="I206" s="81"/>
      <c r="J206" s="81"/>
    </row>
  </sheetData>
  <sheetProtection password="DAB8" sheet="1" scenarios="1" selectLockedCells="1"/>
  <pageMargins left="0.7" right="0.7" top="0.75" bottom="0.75" header="0.3" footer="0.3"/>
  <pageSetup orientation="portrait" r:id="rId1"/>
  <legacyDrawing r:id="rId2"/>
  <controls>
    <control shapeId="9231" r:id="rId3" name="CommandButton1"/>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24</vt:i4>
      </vt:variant>
    </vt:vector>
  </HeadingPairs>
  <TitlesOfParts>
    <vt:vector size="34" baseType="lpstr">
      <vt:lpstr>Introduction</vt:lpstr>
      <vt:lpstr>System Specifications</vt:lpstr>
      <vt:lpstr>PFC Inductor1</vt:lpstr>
      <vt:lpstr>FB Transformer</vt:lpstr>
      <vt:lpstr>QFB</vt:lpstr>
      <vt:lpstr>Startup Time1</vt:lpstr>
      <vt:lpstr>PSM</vt:lpstr>
      <vt:lpstr>X2 Discharge Time</vt:lpstr>
      <vt:lpstr>Over Power Protection</vt:lpstr>
      <vt:lpstr>QR FB Plots</vt:lpstr>
      <vt:lpstr>Effmin</vt:lpstr>
      <vt:lpstr>flinemax</vt:lpstr>
      <vt:lpstr>flinemin</vt:lpstr>
      <vt:lpstr>PFCeff</vt:lpstr>
      <vt:lpstr>PFCfswmin</vt:lpstr>
      <vt:lpstr>PFCLpri</vt:lpstr>
      <vt:lpstr>PFCVoHL</vt:lpstr>
      <vt:lpstr>PFCVoLL</vt:lpstr>
      <vt:lpstr>Pinmax</vt:lpstr>
      <vt:lpstr>Pomax</vt:lpstr>
      <vt:lpstr>QReff</vt:lpstr>
      <vt:lpstr>QRfswmin</vt:lpstr>
      <vt:lpstr>QRIo</vt:lpstr>
      <vt:lpstr>QRLNaux</vt:lpstr>
      <vt:lpstr>QRLNp</vt:lpstr>
      <vt:lpstr>QRLNs</vt:lpstr>
      <vt:lpstr>QRLpri</vt:lpstr>
      <vt:lpstr>QRRcs</vt:lpstr>
      <vt:lpstr>QRVinmax</vt:lpstr>
      <vt:lpstr>QRVinmin</vt:lpstr>
      <vt:lpstr>QRVo</vt:lpstr>
      <vt:lpstr>RQsense</vt:lpstr>
      <vt:lpstr>Vacmax</vt:lpstr>
      <vt:lpstr>Vacmin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2013-04-01T20:07:41Z</dcterms:modified>
</cp:coreProperties>
</file>